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53222"/>
  <bookViews>
    <workbookView xWindow="0" yWindow="0" windowWidth="23040" windowHeight="9120" tabRatio="879"/>
  </bookViews>
  <sheets>
    <sheet name="記載の手引き " sheetId="29" r:id="rId1"/>
    <sheet name="①" sheetId="43" r:id="rId2"/>
    <sheet name="②-1" sheetId="20" r:id="rId3"/>
    <sheet name="②-2" sheetId="8" r:id="rId4"/>
    <sheet name="③" sheetId="28" r:id="rId5"/>
    <sheet name="④" sheetId="25" r:id="rId6"/>
    <sheet name="⑤-1" sheetId="30" r:id="rId7"/>
    <sheet name="⑤-2" sheetId="31" r:id="rId8"/>
  </sheets>
  <definedNames>
    <definedName name="_xlnm.Print_Area" localSheetId="1">①!$A$1:$S$72</definedName>
    <definedName name="_xlnm.Print_Area" localSheetId="2">'②-1'!$A$1:$W$65</definedName>
    <definedName name="_xlnm.Print_Area" localSheetId="3">'②-2'!$A$1:$W$64</definedName>
    <definedName name="_xlnm.Print_Area" localSheetId="4">③!$A$1:$AU$44</definedName>
    <definedName name="_xlnm.Print_Area" localSheetId="5">④!$A$1:$T$71</definedName>
    <definedName name="_xlnm.Print_Area" localSheetId="6">'⑤-1'!$A$1:$W$65</definedName>
    <definedName name="_xlnm.Print_Area" localSheetId="7">'⑤-2'!$A$1:$W$65</definedName>
    <definedName name="_xlnm.Print_Area" localSheetId="0">'記載の手引き '!$A$1:$Q$65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8" i="8" l="1"/>
  <c r="S57" i="8"/>
  <c r="S55" i="8"/>
  <c r="S54" i="8"/>
  <c r="S52" i="8"/>
  <c r="S51" i="8"/>
  <c r="S49" i="8"/>
  <c r="S48" i="8"/>
  <c r="J50" i="30" l="1"/>
  <c r="Z23" i="31" l="1"/>
  <c r="Z20" i="31"/>
  <c r="Z25" i="31" s="1"/>
  <c r="Z15" i="31"/>
  <c r="X35" i="31"/>
  <c r="X12" i="31"/>
  <c r="X33" i="31"/>
  <c r="Z11" i="31"/>
  <c r="Z6" i="31"/>
  <c r="Z9" i="31" s="1"/>
  <c r="Y61" i="31"/>
  <c r="Y59" i="31"/>
  <c r="X65" i="31"/>
  <c r="X61" i="31"/>
  <c r="X59" i="31"/>
  <c r="J47" i="31"/>
  <c r="J45" i="31"/>
  <c r="X28" i="31"/>
  <c r="G45" i="31" s="1"/>
  <c r="J48" i="31" s="1"/>
  <c r="AA24" i="30"/>
  <c r="AA21" i="30"/>
  <c r="AA14" i="30"/>
  <c r="Y15" i="30"/>
  <c r="G50" i="30" s="1"/>
  <c r="Y11" i="30"/>
  <c r="Y8" i="30"/>
  <c r="AA10" i="30"/>
  <c r="AA5" i="30"/>
  <c r="AA8" i="30" s="1"/>
  <c r="AA60" i="30"/>
  <c r="AA58" i="30"/>
  <c r="AA62" i="30" s="1"/>
  <c r="Y64" i="30"/>
  <c r="Y60" i="30"/>
  <c r="Y58" i="30"/>
  <c r="Y62" i="30" s="1"/>
  <c r="J49" i="30"/>
  <c r="J48" i="30"/>
  <c r="V32" i="25"/>
  <c r="G53" i="25" s="1"/>
  <c r="G52" i="25" s="1"/>
  <c r="X27" i="25"/>
  <c r="X24" i="25"/>
  <c r="X65" i="25"/>
  <c r="X63" i="25"/>
  <c r="X67" i="25" s="1"/>
  <c r="V20" i="25"/>
  <c r="G51" i="25" s="1"/>
  <c r="V16" i="25"/>
  <c r="V13" i="25"/>
  <c r="V69" i="25"/>
  <c r="V65" i="25"/>
  <c r="V63" i="25"/>
  <c r="V67" i="25" s="1"/>
  <c r="J53" i="25"/>
  <c r="J51" i="25"/>
  <c r="AV42" i="28"/>
  <c r="AQ42" i="28" s="1"/>
  <c r="AV40" i="28"/>
  <c r="AP44" i="28" s="1"/>
  <c r="AV38" i="28"/>
  <c r="AV24" i="28"/>
  <c r="AV15" i="28"/>
  <c r="AV33" i="28"/>
  <c r="AV31" i="28"/>
  <c r="AV29" i="28"/>
  <c r="AV22" i="28"/>
  <c r="AV20" i="28"/>
  <c r="AV13" i="28"/>
  <c r="U16" i="43"/>
  <c r="AK42" i="28"/>
  <c r="AJ44" i="28"/>
  <c r="AJ43" i="28"/>
  <c r="AH42" i="28"/>
  <c r="AG44" i="28"/>
  <c r="AG43" i="28"/>
  <c r="AE42" i="28"/>
  <c r="AD43" i="28"/>
  <c r="AB42" i="28"/>
  <c r="AA44" i="28"/>
  <c r="AA43" i="28"/>
  <c r="Y42" i="28"/>
  <c r="X44" i="28"/>
  <c r="X43" i="28"/>
  <c r="V42" i="28"/>
  <c r="U44" i="28"/>
  <c r="U43" i="28"/>
  <c r="S42" i="28"/>
  <c r="R44" i="28"/>
  <c r="R43" i="28"/>
  <c r="P42" i="28"/>
  <c r="O44" i="28"/>
  <c r="O43" i="28"/>
  <c r="M42" i="28"/>
  <c r="L44" i="28"/>
  <c r="L43" i="28" s="1"/>
  <c r="J42" i="28"/>
  <c r="I44" i="28"/>
  <c r="I43" i="28"/>
  <c r="G42" i="28"/>
  <c r="F44" i="28"/>
  <c r="F43" i="28"/>
  <c r="D42" i="28"/>
  <c r="C43" i="28"/>
  <c r="Y63" i="31" l="1"/>
  <c r="G47" i="31"/>
  <c r="AA26" i="30"/>
  <c r="J60" i="30" s="1"/>
  <c r="G48" i="30"/>
  <c r="J51" i="30" s="1"/>
  <c r="X29" i="25"/>
  <c r="V18" i="25"/>
  <c r="V21" i="25" s="1"/>
  <c r="Y13" i="30"/>
  <c r="X37" i="31"/>
  <c r="AA11" i="30"/>
  <c r="Y65" i="30"/>
  <c r="G49" i="30"/>
  <c r="V70" i="25"/>
  <c r="G62" i="25" s="1"/>
  <c r="AP43" i="28"/>
  <c r="AV34" i="28"/>
  <c r="AN42" i="28" s="1"/>
  <c r="AV25" i="28"/>
  <c r="AM44" i="28" s="1"/>
  <c r="AT44" i="28" s="1"/>
  <c r="AV16" i="28"/>
  <c r="C44" i="28"/>
  <c r="Z29" i="8"/>
  <c r="Z26" i="8"/>
  <c r="Z21" i="8"/>
  <c r="Z22" i="8" s="1"/>
  <c r="Z66" i="8"/>
  <c r="Z64" i="8"/>
  <c r="X28" i="8"/>
  <c r="X22" i="8"/>
  <c r="X26" i="8" s="1"/>
  <c r="X70" i="8"/>
  <c r="X66" i="8"/>
  <c r="X64" i="8"/>
  <c r="J47" i="8"/>
  <c r="J46" i="8" s="1"/>
  <c r="J45" i="8"/>
  <c r="AA42" i="20"/>
  <c r="AA76" i="20"/>
  <c r="AA74" i="20"/>
  <c r="Y76" i="20"/>
  <c r="Y74" i="20"/>
  <c r="U50" i="20"/>
  <c r="AA28" i="20"/>
  <c r="AA25" i="20"/>
  <c r="AA20" i="20"/>
  <c r="AA21" i="20" s="1"/>
  <c r="AA65" i="20"/>
  <c r="AA63" i="20"/>
  <c r="Y69" i="20"/>
  <c r="Y65" i="20"/>
  <c r="Y63" i="20"/>
  <c r="U48" i="20"/>
  <c r="J50" i="20"/>
  <c r="J48" i="20"/>
  <c r="Y15" i="20"/>
  <c r="G48" i="20" s="1"/>
  <c r="W53" i="43"/>
  <c r="W50" i="43"/>
  <c r="W21" i="43"/>
  <c r="W77" i="43"/>
  <c r="W75" i="43"/>
  <c r="W43" i="43"/>
  <c r="W39" i="43"/>
  <c r="W36" i="43"/>
  <c r="U81" i="43"/>
  <c r="U77" i="43"/>
  <c r="U75" i="43"/>
  <c r="U79" i="43" s="1"/>
  <c r="W29" i="43"/>
  <c r="W26" i="43"/>
  <c r="W31" i="43" s="1"/>
  <c r="N53" i="43"/>
  <c r="N52" i="43" s="1"/>
  <c r="U12" i="43"/>
  <c r="U9" i="43"/>
  <c r="U28" i="43"/>
  <c r="U22" i="43"/>
  <c r="W66" i="43"/>
  <c r="W64" i="43"/>
  <c r="U70" i="43"/>
  <c r="U66" i="43"/>
  <c r="U64" i="43"/>
  <c r="Q53" i="43"/>
  <c r="Q51" i="43"/>
  <c r="U14" i="43" l="1"/>
  <c r="U17" i="43" s="1"/>
  <c r="Y67" i="20"/>
  <c r="Y70" i="20" s="1"/>
  <c r="Z68" i="8"/>
  <c r="X68" i="8"/>
  <c r="X71" i="8" s="1"/>
  <c r="J51" i="20"/>
  <c r="AA78" i="20"/>
  <c r="Y78" i="20"/>
  <c r="AA30" i="20"/>
  <c r="X29" i="8"/>
  <c r="AM43" i="28"/>
  <c r="AT43" i="28" s="1"/>
  <c r="R50" i="20"/>
  <c r="R49" i="20" s="1"/>
  <c r="G50" i="20"/>
  <c r="G49" i="20" s="1"/>
  <c r="R48" i="20"/>
  <c r="U51" i="20" s="1"/>
  <c r="N51" i="43"/>
  <c r="Q54" i="43" s="1"/>
  <c r="E53" i="43" l="1"/>
  <c r="E52" i="43" s="1"/>
  <c r="H51" i="43"/>
  <c r="E51" i="43"/>
  <c r="H54" i="43" s="1"/>
  <c r="H55" i="43" l="1"/>
  <c r="W79" i="43"/>
  <c r="Q63" i="43" s="1"/>
  <c r="U82" i="43"/>
  <c r="N63" i="43" s="1"/>
  <c r="W68" i="43"/>
  <c r="H63" i="43" s="1"/>
  <c r="U59" i="43"/>
  <c r="Q52" i="43"/>
  <c r="H53" i="43"/>
  <c r="H52" i="43" s="1"/>
  <c r="K45" i="43"/>
  <c r="B45" i="43"/>
  <c r="U39" i="43"/>
  <c r="U35" i="43"/>
  <c r="U33" i="43"/>
  <c r="U26" i="43"/>
  <c r="U29" i="43" s="1"/>
  <c r="W22" i="43"/>
  <c r="W15" i="43"/>
  <c r="O13" i="43"/>
  <c r="O14" i="43" s="1"/>
  <c r="O15" i="43" s="1"/>
  <c r="O16" i="43" s="1"/>
  <c r="O17" i="43" s="1"/>
  <c r="O18" i="43" s="1"/>
  <c r="O19" i="43" s="1"/>
  <c r="O20" i="43" s="1"/>
  <c r="O21" i="43" s="1"/>
  <c r="O22" i="43" s="1"/>
  <c r="O23" i="43" s="1"/>
  <c r="O24" i="43" s="1"/>
  <c r="O25" i="43" s="1"/>
  <c r="O26" i="43" s="1"/>
  <c r="O27" i="43" s="1"/>
  <c r="O28" i="43" s="1"/>
  <c r="O29" i="43" s="1"/>
  <c r="O30" i="43" s="1"/>
  <c r="O31" i="43" s="1"/>
  <c r="O32" i="43" s="1"/>
  <c r="O33" i="43" s="1"/>
  <c r="O34" i="43" s="1"/>
  <c r="O35" i="43" s="1"/>
  <c r="O36" i="43" s="1"/>
  <c r="O37" i="43" s="1"/>
  <c r="O38" i="43" s="1"/>
  <c r="O39" i="43" s="1"/>
  <c r="O40" i="43" s="1"/>
  <c r="L13" i="43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L30" i="43" s="1"/>
  <c r="L31" i="43" s="1"/>
  <c r="L32" i="43" s="1"/>
  <c r="L33" i="43" s="1"/>
  <c r="L34" i="43" s="1"/>
  <c r="L35" i="43" s="1"/>
  <c r="L36" i="43" s="1"/>
  <c r="L37" i="43" s="1"/>
  <c r="L38" i="43" s="1"/>
  <c r="L39" i="43" s="1"/>
  <c r="L40" i="43" s="1"/>
  <c r="L41" i="43" s="1"/>
  <c r="L42" i="43" s="1"/>
  <c r="L43" i="43" s="1"/>
  <c r="W11" i="43"/>
  <c r="F11" i="43"/>
  <c r="F13" i="43" s="1"/>
  <c r="F14" i="43" s="1"/>
  <c r="F15" i="43" s="1"/>
  <c r="F16" i="43" s="1"/>
  <c r="F17" i="43" s="1"/>
  <c r="F18" i="43" s="1"/>
  <c r="F19" i="43" s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F38" i="43" s="1"/>
  <c r="F39" i="43" s="1"/>
  <c r="F40" i="43" s="1"/>
  <c r="F41" i="43" s="1"/>
  <c r="C11" i="43"/>
  <c r="C13" i="43" s="1"/>
  <c r="C14" i="43" s="1"/>
  <c r="C15" i="43" s="1"/>
  <c r="C16" i="43" s="1"/>
  <c r="C17" i="43" s="1"/>
  <c r="C18" i="43" s="1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E65" i="43"/>
  <c r="W5" i="43"/>
  <c r="W9" i="43" s="1"/>
  <c r="U3" i="43"/>
  <c r="W12" i="43" l="1"/>
  <c r="Q66" i="43"/>
  <c r="W41" i="43"/>
  <c r="W44" i="43" s="1"/>
  <c r="N65" i="43" s="1"/>
  <c r="E64" i="43"/>
  <c r="Q55" i="43"/>
  <c r="Q56" i="43" s="1"/>
  <c r="Q58" i="43" s="1"/>
  <c r="U68" i="43"/>
  <c r="U37" i="43"/>
  <c r="U40" i="43" s="1"/>
  <c r="W55" i="43"/>
  <c r="Q65" i="43" s="1"/>
  <c r="Q64" i="43" s="1"/>
  <c r="O41" i="43"/>
  <c r="O43" i="43" s="1"/>
  <c r="O42" i="43"/>
  <c r="F43" i="43"/>
  <c r="F42" i="43"/>
  <c r="E45" i="25"/>
  <c r="J57" i="31"/>
  <c r="J56" i="31" s="1"/>
  <c r="X39" i="31"/>
  <c r="X40" i="31" s="1"/>
  <c r="G57" i="31" s="1"/>
  <c r="X22" i="31"/>
  <c r="X26" i="31" s="1"/>
  <c r="X29" i="31" s="1"/>
  <c r="G46" i="31"/>
  <c r="X16" i="31"/>
  <c r="X9" i="31"/>
  <c r="X14" i="31" s="1"/>
  <c r="X17" i="31" s="1"/>
  <c r="J59" i="30"/>
  <c r="Y38" i="30"/>
  <c r="Y34" i="30"/>
  <c r="Y36" i="30" s="1"/>
  <c r="Y39" i="30" s="1"/>
  <c r="Y32" i="30"/>
  <c r="Y27" i="30"/>
  <c r="Y21" i="30"/>
  <c r="Y25" i="30" s="1"/>
  <c r="Y28" i="30" s="1"/>
  <c r="Z50" i="8"/>
  <c r="AA49" i="20"/>
  <c r="X15" i="25"/>
  <c r="X10" i="25"/>
  <c r="J62" i="25"/>
  <c r="V43" i="25"/>
  <c r="V39" i="25"/>
  <c r="V37" i="25"/>
  <c r="V30" i="25"/>
  <c r="V33" i="25" s="1"/>
  <c r="V26" i="25"/>
  <c r="X16" i="8"/>
  <c r="X12" i="8"/>
  <c r="X9" i="8"/>
  <c r="Z77" i="8"/>
  <c r="Z75" i="8"/>
  <c r="Z79" i="8" s="1"/>
  <c r="Z53" i="8"/>
  <c r="Z55" i="8" s="1"/>
  <c r="Z43" i="8"/>
  <c r="Z39" i="8"/>
  <c r="Z41" i="8" s="1"/>
  <c r="Z44" i="8" s="1"/>
  <c r="Z36" i="8"/>
  <c r="X81" i="8"/>
  <c r="X77" i="8"/>
  <c r="X75" i="8"/>
  <c r="X79" i="8" s="1"/>
  <c r="X82" i="8" s="1"/>
  <c r="X59" i="8"/>
  <c r="X39" i="8"/>
  <c r="X35" i="8"/>
  <c r="X33" i="8"/>
  <c r="X37" i="8" s="1"/>
  <c r="X40" i="8" s="1"/>
  <c r="AA52" i="20"/>
  <c r="AA35" i="20"/>
  <c r="Y80" i="20"/>
  <c r="Y81" i="20" s="1"/>
  <c r="Y11" i="20"/>
  <c r="Y8" i="20"/>
  <c r="Y27" i="20"/>
  <c r="Y21" i="20"/>
  <c r="Y25" i="20" s="1"/>
  <c r="AA38" i="20"/>
  <c r="Y58" i="20"/>
  <c r="Y38" i="20"/>
  <c r="Y34" i="20"/>
  <c r="Y32" i="20"/>
  <c r="G47" i="8" l="1"/>
  <c r="G46" i="8" s="1"/>
  <c r="G45" i="8"/>
  <c r="H65" i="43"/>
  <c r="H64" i="43" s="1"/>
  <c r="H67" i="43" s="1"/>
  <c r="N64" i="43"/>
  <c r="U71" i="43"/>
  <c r="E63" i="43" s="1"/>
  <c r="H66" i="43" s="1"/>
  <c r="Y36" i="20"/>
  <c r="Y39" i="20" s="1"/>
  <c r="V41" i="25"/>
  <c r="V44" i="25" s="1"/>
  <c r="Y28" i="20"/>
  <c r="H56" i="43"/>
  <c r="H58" i="43" s="1"/>
  <c r="X63" i="31"/>
  <c r="J55" i="31"/>
  <c r="J58" i="30"/>
  <c r="G58" i="30"/>
  <c r="J64" i="25"/>
  <c r="J63" i="25" s="1"/>
  <c r="G64" i="25"/>
  <c r="X14" i="8"/>
  <c r="X17" i="8" s="1"/>
  <c r="G57" i="8" s="1"/>
  <c r="G56" i="8" s="1"/>
  <c r="G58" i="20"/>
  <c r="Y13" i="20"/>
  <c r="Y16" i="20" s="1"/>
  <c r="G60" i="20" s="1"/>
  <c r="J55" i="8"/>
  <c r="Z31" i="8"/>
  <c r="J57" i="8" s="1"/>
  <c r="J56" i="8" s="1"/>
  <c r="G55" i="8"/>
  <c r="U58" i="20"/>
  <c r="AA54" i="20"/>
  <c r="U60" i="20" s="1"/>
  <c r="U59" i="20" s="1"/>
  <c r="R58" i="20"/>
  <c r="AA67" i="20"/>
  <c r="J58" i="20" s="1"/>
  <c r="J60" i="20"/>
  <c r="J59" i="20" s="1"/>
  <c r="Y16" i="30"/>
  <c r="G60" i="30" s="1"/>
  <c r="AA40" i="20"/>
  <c r="AA43" i="20" s="1"/>
  <c r="X4" i="31"/>
  <c r="Y3" i="30"/>
  <c r="X19" i="25"/>
  <c r="X13" i="25"/>
  <c r="X16" i="25" s="1"/>
  <c r="V4" i="25"/>
  <c r="AD44" i="28"/>
  <c r="X66" i="31" l="1"/>
  <c r="G55" i="31" s="1"/>
  <c r="J58" i="31" s="1"/>
  <c r="J61" i="30"/>
  <c r="G59" i="20"/>
  <c r="G63" i="25"/>
  <c r="U61" i="20"/>
  <c r="R60" i="20"/>
  <c r="R59" i="20" s="1"/>
  <c r="J61" i="20"/>
  <c r="Q67" i="43"/>
  <c r="Q68" i="43" s="1"/>
  <c r="Q70" i="43" s="1"/>
  <c r="H68" i="43"/>
  <c r="H70" i="43" s="1"/>
  <c r="Z12" i="31"/>
  <c r="G56" i="31" s="1"/>
  <c r="J59" i="31" s="1"/>
  <c r="G59" i="30"/>
  <c r="J62" i="30" s="1"/>
  <c r="J60" i="31" l="1"/>
  <c r="Z15" i="8"/>
  <c r="Z11" i="8"/>
  <c r="Z6" i="8"/>
  <c r="Z9" i="8" s="1"/>
  <c r="X4" i="8"/>
  <c r="U49" i="20"/>
  <c r="U52" i="20" s="1"/>
  <c r="AA14" i="20"/>
  <c r="AA10" i="20"/>
  <c r="Y3" i="20"/>
  <c r="AA5" i="20"/>
  <c r="AA8" i="20" s="1"/>
  <c r="Z12" i="8" l="1"/>
  <c r="AA11" i="20"/>
  <c r="AO9" i="28" l="1"/>
  <c r="AO7" i="28"/>
  <c r="H8" i="30" l="1"/>
  <c r="E8" i="30"/>
  <c r="E10" i="30" s="1"/>
  <c r="E11" i="30" s="1"/>
  <c r="E12" i="30" s="1"/>
  <c r="E13" i="30" s="1"/>
  <c r="E14" i="30" s="1"/>
  <c r="E15" i="30" s="1"/>
  <c r="E16" i="30" s="1"/>
  <c r="E17" i="30" s="1"/>
  <c r="E18" i="30" s="1"/>
  <c r="E19" i="30" s="1"/>
  <c r="E20" i="30" s="1"/>
  <c r="E21" i="30" s="1"/>
  <c r="E22" i="30" s="1"/>
  <c r="E23" i="30" s="1"/>
  <c r="E24" i="30" s="1"/>
  <c r="E25" i="30" s="1"/>
  <c r="E26" i="30" s="1"/>
  <c r="E27" i="30" s="1"/>
  <c r="E28" i="30" s="1"/>
  <c r="E29" i="30" s="1"/>
  <c r="E30" i="30" s="1"/>
  <c r="E31" i="30" s="1"/>
  <c r="E32" i="30" s="1"/>
  <c r="E33" i="30" s="1"/>
  <c r="E34" i="30" s="1"/>
  <c r="E35" i="30" s="1"/>
  <c r="E36" i="30" s="1"/>
  <c r="E37" i="30" s="1"/>
  <c r="E38" i="30" s="1"/>
  <c r="E39" i="30" s="1"/>
  <c r="E40" i="30" s="1"/>
  <c r="J46" i="31"/>
  <c r="J49" i="31" s="1"/>
  <c r="J50" i="31" s="1"/>
  <c r="H7" i="31"/>
  <c r="H9" i="31" s="1"/>
  <c r="H10" i="31" s="1"/>
  <c r="H11" i="31" s="1"/>
  <c r="H12" i="31" s="1"/>
  <c r="H13" i="31" s="1"/>
  <c r="H14" i="31" s="1"/>
  <c r="H15" i="31" s="1"/>
  <c r="H16" i="31" s="1"/>
  <c r="H17" i="31" s="1"/>
  <c r="H18" i="31" s="1"/>
  <c r="H19" i="31" s="1"/>
  <c r="H20" i="31" s="1"/>
  <c r="H21" i="31" s="1"/>
  <c r="H22" i="31" s="1"/>
  <c r="H23" i="31" s="1"/>
  <c r="H24" i="31" s="1"/>
  <c r="H25" i="31" s="1"/>
  <c r="H26" i="31" s="1"/>
  <c r="H27" i="31" s="1"/>
  <c r="H28" i="31" s="1"/>
  <c r="H29" i="31" s="1"/>
  <c r="H30" i="31" s="1"/>
  <c r="H31" i="31" s="1"/>
  <c r="H32" i="31" s="1"/>
  <c r="H33" i="31" s="1"/>
  <c r="H34" i="31" s="1"/>
  <c r="H35" i="31" s="1"/>
  <c r="H36" i="31" s="1"/>
  <c r="H37" i="31" s="1"/>
  <c r="E7" i="31"/>
  <c r="E9" i="31" s="1"/>
  <c r="E10" i="31" s="1"/>
  <c r="E11" i="31" s="1"/>
  <c r="E12" i="31" s="1"/>
  <c r="E13" i="31" s="1"/>
  <c r="E14" i="31" s="1"/>
  <c r="E15" i="31" s="1"/>
  <c r="E16" i="31" s="1"/>
  <c r="E17" i="31" s="1"/>
  <c r="E18" i="31" s="1"/>
  <c r="E19" i="31" s="1"/>
  <c r="E20" i="31" s="1"/>
  <c r="E21" i="31" s="1"/>
  <c r="E22" i="31" s="1"/>
  <c r="E23" i="31" s="1"/>
  <c r="E24" i="31" s="1"/>
  <c r="E25" i="31" s="1"/>
  <c r="E26" i="31" s="1"/>
  <c r="E27" i="31" s="1"/>
  <c r="E28" i="31" s="1"/>
  <c r="E29" i="31" s="1"/>
  <c r="E30" i="31" s="1"/>
  <c r="E31" i="31" s="1"/>
  <c r="E32" i="31" s="1"/>
  <c r="E33" i="31" s="1"/>
  <c r="E34" i="31" s="1"/>
  <c r="E35" i="31" s="1"/>
  <c r="E36" i="31" s="1"/>
  <c r="E37" i="31" s="1"/>
  <c r="E38" i="31" s="1"/>
  <c r="E39" i="31" s="1"/>
  <c r="C6" i="31"/>
  <c r="J52" i="30"/>
  <c r="H10" i="30"/>
  <c r="H11" i="30" s="1"/>
  <c r="H12" i="30" s="1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H26" i="30" s="1"/>
  <c r="H27" i="30" s="1"/>
  <c r="H28" i="30" s="1"/>
  <c r="H29" i="30" s="1"/>
  <c r="H30" i="30" s="1"/>
  <c r="H31" i="30" s="1"/>
  <c r="H32" i="30" s="1"/>
  <c r="H33" i="30" s="1"/>
  <c r="H34" i="30" s="1"/>
  <c r="H35" i="30" s="1"/>
  <c r="H36" i="30" s="1"/>
  <c r="H37" i="30" s="1"/>
  <c r="J65" i="25"/>
  <c r="J52" i="25"/>
  <c r="J55" i="25" s="1"/>
  <c r="H13" i="25"/>
  <c r="H15" i="25" s="1"/>
  <c r="H16" i="25" s="1"/>
  <c r="H17" i="25" s="1"/>
  <c r="H18" i="25" s="1"/>
  <c r="H19" i="25" s="1"/>
  <c r="H20" i="25" s="1"/>
  <c r="H21" i="25" s="1"/>
  <c r="H22" i="25" s="1"/>
  <c r="H23" i="25" s="1"/>
  <c r="H24" i="25" s="1"/>
  <c r="H25" i="25" s="1"/>
  <c r="H26" i="25" s="1"/>
  <c r="H27" i="25" s="1"/>
  <c r="H28" i="25" s="1"/>
  <c r="H29" i="25" s="1"/>
  <c r="H30" i="25" s="1"/>
  <c r="H31" i="25" s="1"/>
  <c r="H32" i="25" s="1"/>
  <c r="H33" i="25" s="1"/>
  <c r="H34" i="25" s="1"/>
  <c r="H35" i="25" s="1"/>
  <c r="H36" i="25" s="1"/>
  <c r="H37" i="25" s="1"/>
  <c r="H38" i="25" s="1"/>
  <c r="H39" i="25" s="1"/>
  <c r="H40" i="25" s="1"/>
  <c r="H41" i="25" s="1"/>
  <c r="H42" i="25" s="1"/>
  <c r="H43" i="25" s="1"/>
  <c r="H44" i="25" s="1"/>
  <c r="E13" i="25"/>
  <c r="J54" i="25"/>
  <c r="AF39" i="28"/>
  <c r="AC39" i="28"/>
  <c r="Z39" i="28"/>
  <c r="W39" i="28"/>
  <c r="Q39" i="28"/>
  <c r="Q38" i="28"/>
  <c r="Q37" i="28"/>
  <c r="K39" i="28"/>
  <c r="H39" i="28"/>
  <c r="B39" i="28"/>
  <c r="B11" i="28"/>
  <c r="B12" i="28" s="1"/>
  <c r="B13" i="28" s="1"/>
  <c r="B14" i="28" s="1"/>
  <c r="B15" i="28" s="1"/>
  <c r="B16" i="28" s="1"/>
  <c r="B17" i="28" s="1"/>
  <c r="B18" i="28" s="1"/>
  <c r="B19" i="28" s="1"/>
  <c r="B20" i="28" s="1"/>
  <c r="B10" i="28"/>
  <c r="B9" i="28"/>
  <c r="B7" i="28"/>
  <c r="J63" i="30" l="1"/>
  <c r="S53" i="31" s="1"/>
  <c r="S54" i="31" s="1"/>
  <c r="J56" i="25"/>
  <c r="J58" i="25" s="1"/>
  <c r="H38" i="31"/>
  <c r="H39" i="31"/>
  <c r="J53" i="30"/>
  <c r="S50" i="31" s="1"/>
  <c r="S51" i="31" s="1"/>
  <c r="J66" i="25"/>
  <c r="J67" i="25" s="1"/>
  <c r="J69" i="25" s="1"/>
  <c r="H7" i="8"/>
  <c r="E7" i="8"/>
  <c r="S32" i="31" l="1"/>
  <c r="S36" i="31"/>
  <c r="S37" i="31"/>
  <c r="S33" i="31"/>
  <c r="E9" i="8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H9" i="8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U62" i="20"/>
  <c r="U63" i="20" s="1"/>
  <c r="J62" i="20"/>
  <c r="U53" i="20"/>
  <c r="J49" i="20"/>
  <c r="J52" i="20" s="1"/>
  <c r="J63" i="20" l="1"/>
  <c r="J53" i="20"/>
  <c r="S36" i="8"/>
  <c r="S28" i="8"/>
  <c r="H39" i="8"/>
  <c r="H8" i="20"/>
  <c r="H10" i="20" s="1"/>
  <c r="H11" i="20" s="1"/>
  <c r="H12" i="20" s="1"/>
  <c r="H13" i="20" s="1"/>
  <c r="H14" i="20" s="1"/>
  <c r="H15" i="20" s="1"/>
  <c r="H16" i="20" s="1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E8" i="20"/>
  <c r="S10" i="20"/>
  <c r="S11" i="20" s="1"/>
  <c r="S12" i="20" s="1"/>
  <c r="S13" i="20" s="1"/>
  <c r="S14" i="20" s="1"/>
  <c r="S15" i="20" s="1"/>
  <c r="S16" i="20" s="1"/>
  <c r="S17" i="20" s="1"/>
  <c r="S18" i="20" s="1"/>
  <c r="S19" i="20" s="1"/>
  <c r="S20" i="20" s="1"/>
  <c r="S21" i="20" s="1"/>
  <c r="S22" i="20" s="1"/>
  <c r="S23" i="20" s="1"/>
  <c r="S24" i="20" s="1"/>
  <c r="S25" i="20" s="1"/>
  <c r="S26" i="20" s="1"/>
  <c r="S27" i="20" s="1"/>
  <c r="S28" i="20" s="1"/>
  <c r="S29" i="20" s="1"/>
  <c r="S30" i="20" s="1"/>
  <c r="S31" i="20" s="1"/>
  <c r="S32" i="20" s="1"/>
  <c r="S33" i="20" s="1"/>
  <c r="S34" i="20" s="1"/>
  <c r="S35" i="20" s="1"/>
  <c r="S36" i="20" s="1"/>
  <c r="S37" i="20" s="1"/>
  <c r="S38" i="20" s="1"/>
  <c r="S38" i="31" l="1"/>
  <c r="S34" i="31"/>
  <c r="S24" i="8"/>
  <c r="S32" i="8"/>
  <c r="S40" i="20"/>
  <c r="S39" i="20"/>
  <c r="H40" i="20"/>
  <c r="J59" i="8" l="1"/>
  <c r="AU42" i="28" l="1"/>
  <c r="B21" i="28"/>
  <c r="J58" i="8"/>
  <c r="J60" i="8" s="1"/>
  <c r="S37" i="8" l="1"/>
  <c r="S33" i="8"/>
  <c r="J49" i="8"/>
  <c r="J48" i="8"/>
  <c r="J50" i="8" l="1"/>
  <c r="S25" i="8" s="1"/>
  <c r="B22" i="28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E7" i="28"/>
  <c r="S29" i="8" l="1"/>
  <c r="E9" i="28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E37" i="28" s="1"/>
  <c r="E38" i="28" s="1"/>
  <c r="E39" i="28" s="1"/>
  <c r="H7" i="28"/>
  <c r="H9" i="28" l="1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H31" i="28" s="1"/>
  <c r="H32" i="28" s="1"/>
  <c r="H33" i="28" s="1"/>
  <c r="H34" i="28" s="1"/>
  <c r="H35" i="28" s="1"/>
  <c r="H36" i="28" s="1"/>
  <c r="H37" i="28" s="1"/>
  <c r="H38" i="28" s="1"/>
  <c r="K7" i="28"/>
  <c r="K9" i="28" l="1"/>
  <c r="K10" i="28" s="1"/>
  <c r="K11" i="28" s="1"/>
  <c r="K12" i="28" s="1"/>
  <c r="K13" i="28" s="1"/>
  <c r="K14" i="28" s="1"/>
  <c r="K15" i="28" s="1"/>
  <c r="K16" i="28" s="1"/>
  <c r="K17" i="28" s="1"/>
  <c r="K18" i="28" s="1"/>
  <c r="K19" i="28" s="1"/>
  <c r="K20" i="28" s="1"/>
  <c r="K21" i="28" s="1"/>
  <c r="K22" i="28" s="1"/>
  <c r="K23" i="28" s="1"/>
  <c r="K24" i="28" s="1"/>
  <c r="K25" i="28" s="1"/>
  <c r="K26" i="28" s="1"/>
  <c r="K27" i="28" s="1"/>
  <c r="K28" i="28" s="1"/>
  <c r="K29" i="28" s="1"/>
  <c r="K30" i="28" s="1"/>
  <c r="K31" i="28" s="1"/>
  <c r="K32" i="28" s="1"/>
  <c r="K33" i="28" s="1"/>
  <c r="K34" i="28" s="1"/>
  <c r="K35" i="28" s="1"/>
  <c r="K36" i="28" s="1"/>
  <c r="K37" i="28" s="1"/>
  <c r="K38" i="28" s="1"/>
  <c r="N7" i="28"/>
  <c r="Q7" i="28" l="1"/>
  <c r="N9" i="28"/>
  <c r="N10" i="28" s="1"/>
  <c r="N11" i="28" s="1"/>
  <c r="N12" i="28" s="1"/>
  <c r="N13" i="28" s="1"/>
  <c r="N14" i="28" s="1"/>
  <c r="N15" i="28" s="1"/>
  <c r="N16" i="28" s="1"/>
  <c r="N17" i="28" s="1"/>
  <c r="N18" i="28" s="1"/>
  <c r="N19" i="28" s="1"/>
  <c r="N20" i="28" s="1"/>
  <c r="N21" i="28" s="1"/>
  <c r="N22" i="28" s="1"/>
  <c r="N23" i="28" s="1"/>
  <c r="N24" i="28" s="1"/>
  <c r="N25" i="28" s="1"/>
  <c r="N26" i="28" s="1"/>
  <c r="N27" i="28" s="1"/>
  <c r="N28" i="28" s="1"/>
  <c r="N29" i="28" s="1"/>
  <c r="N30" i="28" s="1"/>
  <c r="N31" i="28" s="1"/>
  <c r="N32" i="28" s="1"/>
  <c r="N33" i="28" s="1"/>
  <c r="N34" i="28" s="1"/>
  <c r="N35" i="28" s="1"/>
  <c r="N36" i="28" s="1"/>
  <c r="N37" i="28" s="1"/>
  <c r="N38" i="28" s="1"/>
  <c r="N39" i="28" s="1"/>
  <c r="E15" i="25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1" i="25" s="1"/>
  <c r="E42" i="25" s="1"/>
  <c r="E43" i="25" s="1"/>
  <c r="E44" i="25" s="1"/>
  <c r="Q9" i="28" l="1"/>
  <c r="Q10" i="28" s="1"/>
  <c r="Q11" i="28" s="1"/>
  <c r="Q12" i="28" s="1"/>
  <c r="Q13" i="28" s="1"/>
  <c r="Q14" i="28" s="1"/>
  <c r="Q15" i="28" s="1"/>
  <c r="Q16" i="28" s="1"/>
  <c r="Q17" i="28" s="1"/>
  <c r="Q18" i="28" s="1"/>
  <c r="Q19" i="28" s="1"/>
  <c r="Q20" i="28" s="1"/>
  <c r="Q21" i="28" s="1"/>
  <c r="Q22" i="28" s="1"/>
  <c r="Q23" i="28" s="1"/>
  <c r="Q24" i="28" s="1"/>
  <c r="Q25" i="28" s="1"/>
  <c r="Q26" i="28" s="1"/>
  <c r="Q27" i="28" s="1"/>
  <c r="Q28" i="28" s="1"/>
  <c r="Q29" i="28" s="1"/>
  <c r="Q30" i="28" s="1"/>
  <c r="Q31" i="28" s="1"/>
  <c r="Q32" i="28" s="1"/>
  <c r="Q33" i="28" s="1"/>
  <c r="Q34" i="28" s="1"/>
  <c r="Q35" i="28" s="1"/>
  <c r="Q36" i="28" s="1"/>
  <c r="T7" i="28"/>
  <c r="T9" i="28" l="1"/>
  <c r="T10" i="28" s="1"/>
  <c r="T11" i="28" s="1"/>
  <c r="T12" i="28" s="1"/>
  <c r="T13" i="28" s="1"/>
  <c r="T14" i="28" s="1"/>
  <c r="T15" i="28" s="1"/>
  <c r="T16" i="28" s="1"/>
  <c r="T17" i="28" s="1"/>
  <c r="T18" i="28" s="1"/>
  <c r="T19" i="28" s="1"/>
  <c r="T20" i="28" s="1"/>
  <c r="T21" i="28" s="1"/>
  <c r="T22" i="28" s="1"/>
  <c r="T23" i="28" s="1"/>
  <c r="T24" i="28" s="1"/>
  <c r="T25" i="28" s="1"/>
  <c r="T26" i="28" s="1"/>
  <c r="T27" i="28" s="1"/>
  <c r="T28" i="28" s="1"/>
  <c r="T29" i="28" s="1"/>
  <c r="T30" i="28" s="1"/>
  <c r="T31" i="28" s="1"/>
  <c r="T32" i="28" s="1"/>
  <c r="T33" i="28" s="1"/>
  <c r="T34" i="28" s="1"/>
  <c r="T35" i="28" s="1"/>
  <c r="T36" i="28" s="1"/>
  <c r="T37" i="28" s="1"/>
  <c r="T38" i="28" s="1"/>
  <c r="T39" i="28" s="1"/>
  <c r="W7" i="28"/>
  <c r="W9" i="28" l="1"/>
  <c r="W10" i="28" s="1"/>
  <c r="W11" i="28" s="1"/>
  <c r="W12" i="28" s="1"/>
  <c r="W13" i="28" s="1"/>
  <c r="W14" i="28" s="1"/>
  <c r="W15" i="28" s="1"/>
  <c r="W16" i="28" s="1"/>
  <c r="W17" i="28" s="1"/>
  <c r="W18" i="28" s="1"/>
  <c r="W19" i="28" s="1"/>
  <c r="W20" i="28" s="1"/>
  <c r="W21" i="28" s="1"/>
  <c r="W22" i="28" s="1"/>
  <c r="W23" i="28" s="1"/>
  <c r="W24" i="28" s="1"/>
  <c r="W25" i="28" s="1"/>
  <c r="W26" i="28" s="1"/>
  <c r="W27" i="28" s="1"/>
  <c r="W28" i="28" s="1"/>
  <c r="W29" i="28" s="1"/>
  <c r="W30" i="28" s="1"/>
  <c r="W31" i="28" s="1"/>
  <c r="W32" i="28" s="1"/>
  <c r="W33" i="28" s="1"/>
  <c r="W34" i="28" s="1"/>
  <c r="W35" i="28" s="1"/>
  <c r="W36" i="28" s="1"/>
  <c r="W37" i="28" s="1"/>
  <c r="W38" i="28" s="1"/>
  <c r="Z7" i="28"/>
  <c r="S26" i="8"/>
  <c r="AC7" i="28" l="1"/>
  <c r="Z9" i="28"/>
  <c r="Z10" i="28" s="1"/>
  <c r="Z11" i="28" s="1"/>
  <c r="Z12" i="28" s="1"/>
  <c r="Z13" i="28" s="1"/>
  <c r="Z14" i="28" s="1"/>
  <c r="Z15" i="28" s="1"/>
  <c r="Z16" i="28" s="1"/>
  <c r="Z17" i="28" s="1"/>
  <c r="Z18" i="28" s="1"/>
  <c r="Z19" i="28" s="1"/>
  <c r="Z20" i="28" s="1"/>
  <c r="Z21" i="28" s="1"/>
  <c r="Z22" i="28" s="1"/>
  <c r="Z23" i="28" s="1"/>
  <c r="Z24" i="28" s="1"/>
  <c r="Z25" i="28" s="1"/>
  <c r="Z26" i="28" s="1"/>
  <c r="Z27" i="28" s="1"/>
  <c r="Z28" i="28" s="1"/>
  <c r="Z29" i="28" s="1"/>
  <c r="Z30" i="28" s="1"/>
  <c r="Z31" i="28" s="1"/>
  <c r="Z32" i="28" s="1"/>
  <c r="Z33" i="28" s="1"/>
  <c r="Z34" i="28" s="1"/>
  <c r="Z35" i="28" s="1"/>
  <c r="Z36" i="28" s="1"/>
  <c r="Z37" i="28" s="1"/>
  <c r="Z38" i="28" s="1"/>
  <c r="AC9" i="28" l="1"/>
  <c r="AC10" i="28" s="1"/>
  <c r="AC11" i="28" s="1"/>
  <c r="AC12" i="28" s="1"/>
  <c r="AC13" i="28" s="1"/>
  <c r="AC14" i="28" s="1"/>
  <c r="AC15" i="28" s="1"/>
  <c r="AC16" i="28" s="1"/>
  <c r="AC17" i="28" s="1"/>
  <c r="AC18" i="28" s="1"/>
  <c r="AC19" i="28" s="1"/>
  <c r="AC20" i="28" s="1"/>
  <c r="AC21" i="28" s="1"/>
  <c r="AC22" i="28" s="1"/>
  <c r="AC23" i="28" s="1"/>
  <c r="AC24" i="28" s="1"/>
  <c r="AC25" i="28" s="1"/>
  <c r="AC26" i="28" s="1"/>
  <c r="AC27" i="28" s="1"/>
  <c r="AC28" i="28" s="1"/>
  <c r="AC29" i="28" s="1"/>
  <c r="AC30" i="28" s="1"/>
  <c r="AC31" i="28" s="1"/>
  <c r="AC32" i="28" s="1"/>
  <c r="AC33" i="28" s="1"/>
  <c r="AC34" i="28" s="1"/>
  <c r="AC35" i="28" s="1"/>
  <c r="AC36" i="28" s="1"/>
  <c r="AC37" i="28" s="1"/>
  <c r="AC38" i="28" s="1"/>
  <c r="AF7" i="28"/>
  <c r="C12" i="25"/>
  <c r="AF9" i="28" l="1"/>
  <c r="AF10" i="28" s="1"/>
  <c r="AF11" i="28" s="1"/>
  <c r="AF12" i="28" s="1"/>
  <c r="AF13" i="28" s="1"/>
  <c r="AF14" i="28" s="1"/>
  <c r="AF15" i="28" s="1"/>
  <c r="AF16" i="28" s="1"/>
  <c r="AF17" i="28" s="1"/>
  <c r="AF18" i="28" s="1"/>
  <c r="AF19" i="28" s="1"/>
  <c r="AF20" i="28" s="1"/>
  <c r="AF21" i="28" s="1"/>
  <c r="AF22" i="28" s="1"/>
  <c r="AF23" i="28" s="1"/>
  <c r="AF24" i="28" s="1"/>
  <c r="AF25" i="28" s="1"/>
  <c r="AF26" i="28" s="1"/>
  <c r="AF27" i="28" s="1"/>
  <c r="AF28" i="28" s="1"/>
  <c r="AF29" i="28" s="1"/>
  <c r="AF30" i="28" s="1"/>
  <c r="AF31" i="28" s="1"/>
  <c r="AF32" i="28" s="1"/>
  <c r="AF33" i="28" s="1"/>
  <c r="AF34" i="28" s="1"/>
  <c r="AF35" i="28" s="1"/>
  <c r="AF36" i="28" s="1"/>
  <c r="AF37" i="28" s="1"/>
  <c r="AF38" i="28" s="1"/>
  <c r="AI7" i="28"/>
  <c r="AL7" i="28" s="1"/>
  <c r="AL9" i="28" s="1"/>
  <c r="AL10" i="28" s="1"/>
  <c r="AL11" i="28" s="1"/>
  <c r="AL12" i="28" s="1"/>
  <c r="AL13" i="28" s="1"/>
  <c r="AL14" i="28" s="1"/>
  <c r="AL15" i="28" s="1"/>
  <c r="AL16" i="28" s="1"/>
  <c r="AL17" i="28" s="1"/>
  <c r="AL18" i="28" s="1"/>
  <c r="AL19" i="28" s="1"/>
  <c r="AL20" i="28" s="1"/>
  <c r="AL21" i="28" s="1"/>
  <c r="AL22" i="28" s="1"/>
  <c r="AL23" i="28" s="1"/>
  <c r="AL24" i="28" s="1"/>
  <c r="AL25" i="28" s="1"/>
  <c r="AL26" i="28" s="1"/>
  <c r="AL27" i="28" s="1"/>
  <c r="AL28" i="28" s="1"/>
  <c r="AL29" i="28" s="1"/>
  <c r="AL30" i="28" s="1"/>
  <c r="AL31" i="28" s="1"/>
  <c r="AL32" i="28" s="1"/>
  <c r="AL33" i="28" s="1"/>
  <c r="AL34" i="28" s="1"/>
  <c r="AL35" i="28" s="1"/>
  <c r="AL36" i="28" s="1"/>
  <c r="AL37" i="28" s="1"/>
  <c r="AL38" i="28" s="1"/>
  <c r="AL39" i="28" s="1"/>
  <c r="AI9" i="28" l="1"/>
  <c r="AI10" i="28" s="1"/>
  <c r="AI11" i="28" s="1"/>
  <c r="AI12" i="28" s="1"/>
  <c r="AI13" i="28" s="1"/>
  <c r="AI14" i="28" s="1"/>
  <c r="AI15" i="28" s="1"/>
  <c r="AI16" i="28" s="1"/>
  <c r="AI17" i="28" s="1"/>
  <c r="AI18" i="28" s="1"/>
  <c r="AI19" i="28" s="1"/>
  <c r="AI20" i="28" s="1"/>
  <c r="AI21" i="28" s="1"/>
  <c r="AI22" i="28" s="1"/>
  <c r="AI23" i="28" s="1"/>
  <c r="AI24" i="28" s="1"/>
  <c r="AI25" i="28" s="1"/>
  <c r="AI26" i="28" s="1"/>
  <c r="AI27" i="28" s="1"/>
  <c r="AI28" i="28" s="1"/>
  <c r="AI29" i="28" s="1"/>
  <c r="AI30" i="28" s="1"/>
  <c r="AI31" i="28" s="1"/>
  <c r="AI32" i="28" s="1"/>
  <c r="AI33" i="28" s="1"/>
  <c r="AI34" i="28" s="1"/>
  <c r="AI35" i="28" s="1"/>
  <c r="AI36" i="28" s="1"/>
  <c r="AI37" i="28" s="1"/>
  <c r="AI38" i="28" s="1"/>
  <c r="AI39" i="28" s="1"/>
  <c r="S30" i="8" l="1"/>
  <c r="N42" i="20"/>
  <c r="E10" i="20" l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P10" i="20"/>
  <c r="P11" i="20" s="1"/>
  <c r="P12" i="20" s="1"/>
  <c r="P13" i="20" s="1"/>
  <c r="P14" i="20" s="1"/>
  <c r="P15" i="20" s="1"/>
  <c r="P16" i="20" s="1"/>
  <c r="P17" i="20" s="1"/>
  <c r="P18" i="20" s="1"/>
  <c r="P19" i="20" s="1"/>
  <c r="P20" i="20" s="1"/>
  <c r="P21" i="20" s="1"/>
  <c r="P22" i="20" s="1"/>
  <c r="P23" i="20" s="1"/>
  <c r="P24" i="20" s="1"/>
  <c r="P25" i="20" s="1"/>
  <c r="P26" i="20" s="1"/>
  <c r="P27" i="20" s="1"/>
  <c r="P28" i="20" s="1"/>
  <c r="P29" i="20" s="1"/>
  <c r="P30" i="20" s="1"/>
  <c r="P31" i="20" s="1"/>
  <c r="P32" i="20" s="1"/>
  <c r="P33" i="20" s="1"/>
  <c r="P34" i="20" s="1"/>
  <c r="P35" i="20" s="1"/>
  <c r="P36" i="20" s="1"/>
  <c r="P37" i="20" s="1"/>
  <c r="P38" i="20" s="1"/>
  <c r="P39" i="20" s="1"/>
  <c r="P40" i="20" s="1"/>
  <c r="C6" i="8" l="1"/>
  <c r="S38" i="8" l="1"/>
  <c r="S34" i="8" l="1"/>
</calcChain>
</file>

<file path=xl/sharedStrings.xml><?xml version="1.0" encoding="utf-8"?>
<sst xmlns="http://schemas.openxmlformats.org/spreadsheetml/2006/main" count="892" uniqueCount="197">
  <si>
    <t>売上高</t>
    <rPh sb="0" eb="2">
      <t>ウリアゲ</t>
    </rPh>
    <rPh sb="2" eb="3">
      <t>ダカ</t>
    </rPh>
    <phoneticPr fontId="1"/>
  </si>
  <si>
    <t>店舗名：</t>
    <rPh sb="0" eb="2">
      <t>テンポ</t>
    </rPh>
    <rPh sb="2" eb="3">
      <t>メイ</t>
    </rPh>
    <phoneticPr fontId="1"/>
  </si>
  <si>
    <t>飲食業部門　店舗別 売上高集計表　　</t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</si>
  <si>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営業日</t>
    <rPh sb="0" eb="3">
      <t>エイギョウビ</t>
    </rPh>
    <phoneticPr fontId="1"/>
  </si>
  <si>
    <t>【月単位方式】　</t>
    <phoneticPr fontId="1"/>
  </si>
  <si>
    <t>【月単位方式】</t>
    <phoneticPr fontId="1"/>
  </si>
  <si>
    <t>【時短要請期間方式】</t>
    <phoneticPr fontId="1"/>
  </si>
  <si>
    <t>　</t>
    <phoneticPr fontId="1"/>
  </si>
  <si>
    <t>※１円未満を切り上げ</t>
    <phoneticPr fontId="1"/>
  </si>
  <si>
    <t>※千円未満を切り上げ</t>
    <rPh sb="1" eb="2">
      <t>セン</t>
    </rPh>
    <phoneticPr fontId="1"/>
  </si>
  <si>
    <t>日</t>
    <rPh sb="0" eb="1">
      <t>ヒ</t>
    </rPh>
    <phoneticPr fontId="1"/>
  </si>
  <si>
    <t>最も高い金額にチェック</t>
    <rPh sb="0" eb="1">
      <t>モット</t>
    </rPh>
    <rPh sb="2" eb="3">
      <t>タカ</t>
    </rPh>
    <rPh sb="4" eb="6">
      <t>キンガク</t>
    </rPh>
    <phoneticPr fontId="1"/>
  </si>
  <si>
    <t>選択方式</t>
  </si>
  <si>
    <t>休</t>
    <rPh sb="0" eb="1">
      <t>ヤス</t>
    </rPh>
    <phoneticPr fontId="1"/>
  </si>
  <si>
    <t>令和２年　参照 月　１日当たり売上高</t>
    <rPh sb="0" eb="2">
      <t>レイワ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</si>
  <si>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r>
      <t>＜売上高減少額方式算出表＞</t>
    </r>
    <r>
      <rPr>
        <sz val="12"/>
        <color rgb="FFFF0000"/>
        <rFont val="Meiryo UI"/>
        <family val="3"/>
        <charset val="128"/>
      </rPr>
      <t>【時間短縮要請期間】</t>
    </r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</si>
  <si>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売上高計算シート　記載の手引き</t>
    <rPh sb="0" eb="2">
      <t>ウリアゲ</t>
    </rPh>
    <rPh sb="2" eb="3">
      <t>ダカ</t>
    </rPh>
    <rPh sb="3" eb="5">
      <t>ケイサン</t>
    </rPh>
    <rPh sb="9" eb="11">
      <t>キサイ</t>
    </rPh>
    <rPh sb="12" eb="14">
      <t>テビ</t>
    </rPh>
    <phoneticPr fontId="1"/>
  </si>
  <si>
    <t xml:space="preserve">
</t>
    <phoneticPr fontId="1"/>
  </si>
  <si>
    <t>↓上の入力結果が自動計算されます</t>
    <rPh sb="1" eb="2">
      <t>ウエ</t>
    </rPh>
    <rPh sb="3" eb="5">
      <t>ニュウリョク</t>
    </rPh>
    <rPh sb="5" eb="7">
      <t>ケッカ</t>
    </rPh>
    <rPh sb="8" eb="10">
      <t>ジドウ</t>
    </rPh>
    <rPh sb="10" eb="12">
      <t>ケイサン</t>
    </rPh>
    <phoneticPr fontId="1"/>
  </si>
  <si>
    <t>定休日には「休」欄に〇を、「売上高」欄には売上高を入力ください。</t>
    <rPh sb="0" eb="3">
      <t>テイキュウビ</t>
    </rPh>
    <rPh sb="6" eb="7">
      <t>ヤス</t>
    </rPh>
    <rPh sb="8" eb="9">
      <t>ラン</t>
    </rPh>
    <rPh sb="14" eb="16">
      <t>ウリアゲ</t>
    </rPh>
    <rPh sb="16" eb="17">
      <t>ダカ</t>
    </rPh>
    <rPh sb="18" eb="19">
      <t>ラン</t>
    </rPh>
    <rPh sb="21" eb="23">
      <t>ウリアゲ</t>
    </rPh>
    <rPh sb="23" eb="24">
      <t>ダカ</t>
    </rPh>
    <rPh sb="25" eb="27">
      <t>ニュウリョク</t>
    </rPh>
    <phoneticPr fontId="1"/>
  </si>
  <si>
    <r>
      <t>＜売上高減少額方式算出表＞　</t>
    </r>
    <r>
      <rPr>
        <sz val="12"/>
        <color rgb="FFFF0000"/>
        <rFont val="Meiryo UI"/>
        <family val="3"/>
        <charset val="128"/>
      </rPr>
      <t>【参照期間】</t>
    </r>
    <rPh sb="4" eb="6">
      <t>ゲンショウ</t>
    </rPh>
    <rPh sb="6" eb="7">
      <t>ガク</t>
    </rPh>
    <phoneticPr fontId="1"/>
  </si>
  <si>
    <r>
      <t>飲食業部門　店舗別 売上高集計表　</t>
    </r>
    <r>
      <rPr>
        <sz val="16"/>
        <color rgb="FFFF0000"/>
        <rFont val="Meiryo UI"/>
        <family val="3"/>
        <charset val="128"/>
      </rPr>
      <t>【罹災特例】　</t>
    </r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</si>
  <si>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　</t>
    <phoneticPr fontId="1"/>
  </si>
  <si>
    <t>　　</t>
    <phoneticPr fontId="1"/>
  </si>
  <si>
    <t>令和２年　１日当たり売上高</t>
    <rPh sb="0" eb="2">
      <t>レイワ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</si>
  <si>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令和３年　１日当たり売上高</t>
    <rPh sb="0" eb="2">
      <t>レイワ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</si>
  <si>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 xml:space="preserve"> (ア)</t>
    <phoneticPr fontId="1"/>
  </si>
  <si>
    <t>2021　　令和３年</t>
    <rPh sb="6" eb="8">
      <t>レイワ</t>
    </rPh>
    <rPh sb="9" eb="10">
      <t>ネン</t>
    </rPh>
    <phoneticPr fontId="1"/>
  </si>
  <si>
    <t>2020　　令和２年</t>
    <rPh sb="6" eb="8">
      <t>レイワ</t>
    </rPh>
    <rPh sb="9" eb="10">
      <t>ネン</t>
    </rPh>
    <phoneticPr fontId="1"/>
  </si>
  <si>
    <t>＜売上高方式算出表＞ 【参照期間】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</si>
  <si>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>　　　（（ア）ー（オ））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</si>
  <si>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（（イ）ー（オ））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</si>
  <si>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（（ウ）ー（カ））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</si>
  <si>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（（エ）ー（カ））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</si>
  <si>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</si>
  <si>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売上高計算シート③【新規開店特例】</t>
    <phoneticPr fontId="1"/>
  </si>
  <si>
    <t>飲食業部門　店舗別 売上高集計表</t>
    <phoneticPr fontId="1"/>
  </si>
  <si>
    <t>令和３年</t>
    <rPh sb="0" eb="2">
      <t>レイワ</t>
    </rPh>
    <rPh sb="3" eb="4">
      <t>ネン</t>
    </rPh>
    <phoneticPr fontId="1"/>
  </si>
  <si>
    <t>６月計</t>
    <rPh sb="1" eb="2">
      <t>ツキ</t>
    </rPh>
    <rPh sb="2" eb="3">
      <t>ケイ</t>
    </rPh>
    <phoneticPr fontId="1"/>
  </si>
  <si>
    <t>７月計</t>
    <rPh sb="1" eb="2">
      <t>ツキ</t>
    </rPh>
    <rPh sb="2" eb="3">
      <t>ケイ</t>
    </rPh>
    <phoneticPr fontId="1"/>
  </si>
  <si>
    <t>８月計</t>
    <rPh sb="1" eb="2">
      <t>ツキ</t>
    </rPh>
    <rPh sb="2" eb="3">
      <t>ケイ</t>
    </rPh>
    <phoneticPr fontId="1"/>
  </si>
  <si>
    <t>９月計</t>
    <rPh sb="1" eb="2">
      <t>ツキ</t>
    </rPh>
    <rPh sb="2" eb="3">
      <t>ケイ</t>
    </rPh>
    <phoneticPr fontId="1"/>
  </si>
  <si>
    <t>10月計</t>
    <rPh sb="2" eb="3">
      <t>ツキ</t>
    </rPh>
    <rPh sb="3" eb="4">
      <t>ケイ</t>
    </rPh>
    <phoneticPr fontId="1"/>
  </si>
  <si>
    <t>11月計</t>
    <rPh sb="2" eb="3">
      <t>ツキ</t>
    </rPh>
    <rPh sb="3" eb="4">
      <t>ケイ</t>
    </rPh>
    <phoneticPr fontId="1"/>
  </si>
  <si>
    <t>12月計</t>
    <rPh sb="2" eb="3">
      <t>ツキ</t>
    </rPh>
    <rPh sb="3" eb="4">
      <t>ケイ</t>
    </rPh>
    <phoneticPr fontId="1"/>
  </si>
  <si>
    <t>１月計</t>
    <rPh sb="1" eb="2">
      <t>ツキ</t>
    </rPh>
    <rPh sb="2" eb="3">
      <t>ケイ</t>
    </rPh>
    <phoneticPr fontId="1"/>
  </si>
  <si>
    <t>２月計</t>
    <rPh sb="1" eb="2">
      <t>ツキ</t>
    </rPh>
    <rPh sb="2" eb="3">
      <t>ケイ</t>
    </rPh>
    <phoneticPr fontId="1"/>
  </si>
  <si>
    <t>３月計</t>
    <rPh sb="1" eb="2">
      <t>ツキ</t>
    </rPh>
    <rPh sb="2" eb="3">
      <t>ケイ</t>
    </rPh>
    <phoneticPr fontId="1"/>
  </si>
  <si>
    <t>４月計</t>
    <rPh sb="1" eb="2">
      <t>ツキ</t>
    </rPh>
    <rPh sb="2" eb="3">
      <t>ケイ</t>
    </rPh>
    <phoneticPr fontId="1"/>
  </si>
  <si>
    <t>店休日</t>
    <rPh sb="0" eb="3">
      <t>テンキュウビ</t>
    </rPh>
    <phoneticPr fontId="1"/>
  </si>
  <si>
    <t xml:space="preserve">  【新規開店特例】</t>
    <phoneticPr fontId="1"/>
  </si>
  <si>
    <r>
      <t>【罹災特例】　</t>
    </r>
    <r>
      <rPr>
        <b/>
        <sz val="16"/>
        <rFont val="Meiryo UI"/>
        <family val="3"/>
        <charset val="128"/>
      </rPr>
      <t xml:space="preserve">売上高計算シート④＜売上高方式算出表＞  </t>
    </r>
    <rPh sb="1" eb="3">
      <t>リサイ</t>
    </rPh>
    <rPh sb="3" eb="5">
      <t>トクレイ</t>
    </rPh>
    <rPh sb="7" eb="9">
      <t>ウリアゲ</t>
    </rPh>
    <rPh sb="9" eb="10">
      <t>ダカ</t>
    </rPh>
    <rPh sb="10" eb="12">
      <t>ケイサン</t>
    </rPh>
    <rPh sb="17" eb="19">
      <t>ウリアゲ</t>
    </rPh>
    <rPh sb="19" eb="20">
      <t>ダカ</t>
    </rPh>
    <rPh sb="20" eb="22">
      <t>ホウシキ</t>
    </rPh>
    <rPh sb="22" eb="24">
      <t>サンシュツ</t>
    </rPh>
    <rPh sb="24" eb="25">
      <t>ヒョウ</t>
    </rPh>
    <phoneticPr fontId="1"/>
  </si>
  <si>
    <t>※月を通して営業している場合は、日々の売上高の記入を省略し、各月計のみ売上高を記入することでも可</t>
  </si>
  <si>
    <t xml:space="preserve">売上高計算シート②－２＜売上高減少額方式算出表＞  </t>
    <rPh sb="0" eb="2">
      <t>ウリアゲ</t>
    </rPh>
    <rPh sb="2" eb="3">
      <t>ダカ</t>
    </rPh>
    <rPh sb="3" eb="5">
      <t>ケイサン</t>
    </rPh>
    <rPh sb="12" eb="14">
      <t>ウリアゲ</t>
    </rPh>
    <rPh sb="14" eb="15">
      <t>ダカ</t>
    </rPh>
    <rPh sb="15" eb="17">
      <t>ゲンショウ</t>
    </rPh>
    <rPh sb="17" eb="18">
      <t>ガク</t>
    </rPh>
    <rPh sb="18" eb="20">
      <t>ホウシキ</t>
    </rPh>
    <rPh sb="20" eb="22">
      <t>サンシュツ</t>
    </rPh>
    <rPh sb="22" eb="23">
      <t>ヒョウ</t>
    </rPh>
    <phoneticPr fontId="1"/>
  </si>
  <si>
    <t xml:space="preserve">売上高計算シート②－１＜売上高減少額方式算出表＞  </t>
    <rPh sb="0" eb="2">
      <t>ウリアゲ</t>
    </rPh>
    <rPh sb="2" eb="3">
      <t>ダカ</t>
    </rPh>
    <rPh sb="3" eb="5">
      <t>ケイサン</t>
    </rPh>
    <phoneticPr fontId="1"/>
  </si>
  <si>
    <t xml:space="preserve">売上高計算シート①＜売上高方式算出表＞   </t>
    <rPh sb="0" eb="2">
      <t>ウリアゲ</t>
    </rPh>
    <rPh sb="2" eb="3">
      <t>ダカ</t>
    </rPh>
    <rPh sb="3" eb="5">
      <t>ケイサン</t>
    </rPh>
    <phoneticPr fontId="1"/>
  </si>
  <si>
    <t>合　計</t>
    <rPh sb="0" eb="1">
      <t>ア</t>
    </rPh>
    <rPh sb="2" eb="3">
      <t>ケイ</t>
    </rPh>
    <phoneticPr fontId="1"/>
  </si>
  <si>
    <t>５月計</t>
    <rPh sb="1" eb="2">
      <t>ツキ</t>
    </rPh>
    <rPh sb="2" eb="3">
      <t>ケイ</t>
    </rPh>
    <phoneticPr fontId="1"/>
  </si>
  <si>
    <t>月</t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</si>
  <si>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rPh sb="1" eb="3">
      <t>ウリアゲ</t>
    </rPh>
    <rPh sb="3" eb="4">
      <t>ダカ</t>
    </rPh>
    <rPh sb="7" eb="10">
      <t>ショウヒゼイ</t>
    </rPh>
    <rPh sb="11" eb="12">
      <t>ノゾ</t>
    </rPh>
    <rPh sb="14" eb="16">
      <t>キンガク</t>
    </rPh>
    <rPh sb="17" eb="19">
      <t>キサイ</t>
    </rPh>
    <phoneticPr fontId="1"/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</si>
  <si>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phoneticPr fontId="1"/>
  </si>
  <si>
    <t>１月売上高計Ⓐ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</si>
  <si>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２月売上高計Ⓑ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</si>
  <si>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１月営業日</t>
    <rPh sb="2" eb="5">
      <t>エイギョウビ</t>
    </rPh>
    <phoneticPr fontId="1"/>
  </si>
  <si>
    <t>１月店休日</t>
    <rPh sb="2" eb="3">
      <t>テン</t>
    </rPh>
    <rPh sb="3" eb="4">
      <t>キュウ</t>
    </rPh>
    <rPh sb="4" eb="5">
      <t>ヒ</t>
    </rPh>
    <phoneticPr fontId="1"/>
  </si>
  <si>
    <t>２月営業日</t>
    <rPh sb="2" eb="5">
      <t>エイギョウビ</t>
    </rPh>
    <phoneticPr fontId="1"/>
  </si>
  <si>
    <t>２月店休日</t>
    <rPh sb="2" eb="3">
      <t>テン</t>
    </rPh>
    <rPh sb="3" eb="4">
      <t>キュウ</t>
    </rPh>
    <rPh sb="4" eb="5">
      <t>ヒ</t>
    </rPh>
    <phoneticPr fontId="1"/>
  </si>
  <si>
    <t>※売上高については、日々の売上ではなく、ⒶとⒷに合計金額を直接入力することでも可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</si>
  <si>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営業日数計</t>
    <rPh sb="0" eb="2">
      <t>エイギョウ</t>
    </rPh>
    <rPh sb="2" eb="4">
      <t>ニッスウ</t>
    </rPh>
    <rPh sb="4" eb="5">
      <t>ケイ</t>
    </rPh>
    <phoneticPr fontId="1"/>
  </si>
  <si>
    <t>令和３年　参照 月　１日当たり売上高</t>
    <rPh sb="0" eb="2">
      <t>レイワ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</si>
  <si>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１月売上高計🄫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</si>
  <si>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２月売上高計Ⓓ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</si>
  <si>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１月売上高計Ⓔ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</si>
  <si>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２月売上高計Ⓕ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</si>
  <si>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１月売上高計Ⓖ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</si>
  <si>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２月売上高計Ⓗ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</si>
  <si>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令和２年売上高計</t>
    <rPh sb="0" eb="2">
      <t>レイワ</t>
    </rPh>
    <rPh sb="3" eb="4">
      <t>ネン</t>
    </rPh>
    <rPh sb="4" eb="6">
      <t>ウリアゲ</t>
    </rPh>
    <rPh sb="6" eb="7">
      <t>ダカ</t>
    </rPh>
    <rPh sb="7" eb="8">
      <t>ケイ</t>
    </rPh>
    <phoneticPr fontId="1"/>
  </si>
  <si>
    <t>令和２年営業日数計</t>
    <rPh sb="4" eb="6">
      <t>エイギョウ</t>
    </rPh>
    <rPh sb="6" eb="8">
      <t>ニッスウ</t>
    </rPh>
    <rPh sb="8" eb="9">
      <t>ケイ</t>
    </rPh>
    <phoneticPr fontId="1"/>
  </si>
  <si>
    <t>令和３年売上高計</t>
    <rPh sb="0" eb="2">
      <t>レイワ</t>
    </rPh>
    <rPh sb="3" eb="4">
      <t>ネン</t>
    </rPh>
    <rPh sb="4" eb="6">
      <t>ウリアゲ</t>
    </rPh>
    <rPh sb="6" eb="7">
      <t>ダカ</t>
    </rPh>
    <rPh sb="7" eb="8">
      <t>ケイ</t>
    </rPh>
    <phoneticPr fontId="1"/>
  </si>
  <si>
    <t>令和３年営業日数計</t>
    <rPh sb="4" eb="6">
      <t>エイギョウ</t>
    </rPh>
    <rPh sb="6" eb="8">
      <t>ニッスウ</t>
    </rPh>
    <rPh sb="8" eb="9">
      <t>ケイ</t>
    </rPh>
    <phoneticPr fontId="1"/>
  </si>
  <si>
    <t>(イ)</t>
    <phoneticPr fontId="1"/>
  </si>
  <si>
    <t>(ウ)</t>
    <phoneticPr fontId="1"/>
  </si>
  <si>
    <t>(エ)</t>
    <phoneticPr fontId="1"/>
  </si>
  <si>
    <t>1月売上高計Ⓐ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</si>
  <si>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1月営業日計</t>
    <rPh sb="1" eb="2">
      <t>ガツ</t>
    </rPh>
    <rPh sb="2" eb="5">
      <t>エイギョウビ</t>
    </rPh>
    <rPh sb="5" eb="6">
      <t>ケイ</t>
    </rPh>
    <phoneticPr fontId="1"/>
  </si>
  <si>
    <t>1月店休日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</si>
  <si>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t>２月営業日計</t>
    <rPh sb="1" eb="2">
      <t>ガツ</t>
    </rPh>
    <rPh sb="2" eb="5">
      <t>エイギョウビ</t>
    </rPh>
    <rPh sb="5" eb="6">
      <t>ケイ</t>
    </rPh>
    <phoneticPr fontId="1"/>
  </si>
  <si>
    <t>２月店休日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</si>
  <si>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t>令和４年１月、２月売上高計</t>
    <rPh sb="0" eb="2">
      <t>レイワ</t>
    </rPh>
    <rPh sb="3" eb="4">
      <t>ネン</t>
    </rPh>
    <rPh sb="5" eb="6">
      <t>ガツ</t>
    </rPh>
    <rPh sb="8" eb="9">
      <t>ガツ</t>
    </rPh>
    <rPh sb="9" eb="11">
      <t>ウリアゲ</t>
    </rPh>
    <rPh sb="11" eb="12">
      <t>ダカ</t>
    </rPh>
    <rPh sb="12" eb="13">
      <t>ケイ</t>
    </rPh>
    <phoneticPr fontId="1"/>
  </si>
  <si>
    <t>令和４年　時短要請期間　１日当たり売上高</t>
    <rPh sb="0" eb="2">
      <t>レイワ</t>
    </rPh>
    <rPh sb="3" eb="4">
      <t>ネン</t>
    </rPh>
    <rPh sb="5" eb="7">
      <t>ジタン</t>
    </rPh>
    <rPh sb="7" eb="9">
      <t>ヨウセイ</t>
    </rPh>
    <rPh sb="9" eb="11">
      <t>キカン</t>
    </rPh>
    <rPh sb="13" eb="14">
      <t>ニチ</t>
    </rPh>
    <rPh sb="14" eb="15">
      <t>ア</t>
    </rPh>
    <rPh sb="17" eb="19">
      <t>ウリアゲ</t>
    </rPh>
    <rPh sb="19" eb="20">
      <t>ダカ</t>
    </rPh>
    <phoneticPr fontId="1"/>
  </si>
  <si>
    <t>2022　　令和４年</t>
    <rPh sb="6" eb="8">
      <t>レイワ</t>
    </rPh>
    <rPh sb="9" eb="10">
      <t>ネン</t>
    </rPh>
    <phoneticPr fontId="1"/>
  </si>
  <si>
    <t>1日当たりの支払い額（上記×　(❶0.4、➋ 0.3) ）</t>
    <rPh sb="1" eb="2">
      <t>ニチ</t>
    </rPh>
    <rPh sb="2" eb="3">
      <t>ア</t>
    </rPh>
    <rPh sb="6" eb="8">
      <t>シハライ</t>
    </rPh>
    <rPh sb="9" eb="10">
      <t>ガク</t>
    </rPh>
    <phoneticPr fontId="1"/>
  </si>
  <si>
    <t>上限額</t>
    <rPh sb="0" eb="3">
      <t>ジョウゲンガク</t>
    </rPh>
    <phoneticPr fontId="1"/>
  </si>
  <si>
    <t>上限額（定額）</t>
    <rPh sb="0" eb="3">
      <t>ジョウゲンガク</t>
    </rPh>
    <rPh sb="4" eb="6">
      <t>テイガク</t>
    </rPh>
    <phoneticPr fontId="1"/>
  </si>
  <si>
    <t>A</t>
    <phoneticPr fontId="1"/>
  </si>
  <si>
    <t>B</t>
    <phoneticPr fontId="1"/>
  </si>
  <si>
    <t>(オ)</t>
    <phoneticPr fontId="1"/>
  </si>
  <si>
    <t>(カ)</t>
    <phoneticPr fontId="1"/>
  </si>
  <si>
    <t>『時短営業9時まで(認証店)』の場合のみ、最も高い金額にチェック</t>
    <rPh sb="1" eb="3">
      <t>ジタン</t>
    </rPh>
    <rPh sb="3" eb="5">
      <t>エイギョウ</t>
    </rPh>
    <rPh sb="6" eb="7">
      <t>ジ</t>
    </rPh>
    <rPh sb="10" eb="12">
      <t>ニンショウ</t>
    </rPh>
    <rPh sb="12" eb="13">
      <t>テン</t>
    </rPh>
    <rPh sb="16" eb="18">
      <t>バアイ</t>
    </rPh>
    <rPh sb="21" eb="22">
      <t>モット</t>
    </rPh>
    <rPh sb="23" eb="24">
      <t>タカ</t>
    </rPh>
    <rPh sb="25" eb="27">
      <t>キンガク</t>
    </rPh>
    <phoneticPr fontId="1"/>
  </si>
  <si>
    <t>2019　平成31年</t>
    <rPh sb="5" eb="7">
      <t>ヘイセイ</t>
    </rPh>
    <rPh sb="9" eb="10">
      <t>ネン</t>
    </rPh>
    <phoneticPr fontId="1"/>
  </si>
  <si>
    <t>１月売上高計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</si>
  <si>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２月売上高計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</si>
  <si>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平成31年　１日当たり売上高</t>
    <rPh sb="0" eb="2">
      <t>ヘイセイ</t>
    </rPh>
    <rPh sb="4" eb="5">
      <t>ネン</t>
    </rPh>
    <rPh sb="7" eb="8">
      <t>ニチ</t>
    </rPh>
    <rPh sb="8" eb="9">
      <t>ア</t>
    </rPh>
    <rPh sb="11" eb="13">
      <t>ウリアゲ</t>
    </rPh>
    <rPh sb="13" eb="14">
      <t>ダカ</t>
    </rPh>
    <phoneticPr fontId="1"/>
  </si>
  <si>
    <t>平成31年　売上高計</t>
    <rPh sb="0" eb="2">
      <t>ヘイセイ</t>
    </rPh>
    <rPh sb="4" eb="5">
      <t>ネン</t>
    </rPh>
    <rPh sb="6" eb="8">
      <t>ウリアゲ</t>
    </rPh>
    <rPh sb="8" eb="9">
      <t>ダカ</t>
    </rPh>
    <rPh sb="9" eb="10">
      <t>ケイ</t>
    </rPh>
    <phoneticPr fontId="1"/>
  </si>
  <si>
    <t>平成31年　営業日数計</t>
    <rPh sb="0" eb="2">
      <t>ヘイセイ</t>
    </rPh>
    <rPh sb="4" eb="5">
      <t>ネン</t>
    </rPh>
    <rPh sb="6" eb="11">
      <t>エイギョウニッスウケイ</t>
    </rPh>
    <phoneticPr fontId="1"/>
  </si>
  <si>
    <t>２月営業日</t>
    <rPh sb="1" eb="2">
      <t>ガツ</t>
    </rPh>
    <rPh sb="2" eb="5">
      <t>エイギョウビ</t>
    </rPh>
    <phoneticPr fontId="1"/>
  </si>
  <si>
    <r>
      <t xml:space="preserve">  　　　</t>
    </r>
    <r>
      <rPr>
        <b/>
        <sz val="16"/>
        <color rgb="FFFF0000"/>
        <rFont val="Meiryo UI"/>
        <family val="3"/>
        <charset val="128"/>
      </rPr>
      <t>【罹災特例】</t>
    </r>
    <r>
      <rPr>
        <b/>
        <sz val="16"/>
        <color theme="1"/>
        <rFont val="Meiryo UI"/>
        <family val="3"/>
        <charset val="128"/>
      </rPr>
      <t xml:space="preserve"> 売上高計算シート⑤－１＜売上高減少額方式算出表＞  </t>
    </r>
    <phoneticPr fontId="1"/>
  </si>
  <si>
    <t>平成31年　参照 月　１日当たり売上高</t>
    <rPh sb="0" eb="2">
      <t>ヘイセイ</t>
    </rPh>
    <rPh sb="4" eb="5">
      <t>ネン</t>
    </rPh>
    <rPh sb="6" eb="7">
      <t>サン</t>
    </rPh>
    <rPh sb="7" eb="9">
      <t>テルヅキ</t>
    </rPh>
    <rPh sb="9" eb="10">
      <t>ツキ</t>
    </rPh>
    <rPh sb="12" eb="13">
      <t>ニチ</t>
    </rPh>
    <rPh sb="13" eb="14">
      <t>ア</t>
    </rPh>
    <rPh sb="16" eb="18">
      <t>ウリアゲ</t>
    </rPh>
    <rPh sb="18" eb="19">
      <t>ダカ</t>
    </rPh>
    <phoneticPr fontId="1"/>
  </si>
  <si>
    <t>2019　　平成31年</t>
    <rPh sb="6" eb="8">
      <t>ヘイセイ</t>
    </rPh>
    <rPh sb="10" eb="11">
      <t>ネン</t>
    </rPh>
    <phoneticPr fontId="1"/>
  </si>
  <si>
    <r>
      <t>　　　　</t>
    </r>
    <r>
      <rPr>
        <b/>
        <sz val="16"/>
        <color rgb="FFFF0000"/>
        <rFont val="Meiryo UI"/>
        <family val="3"/>
        <charset val="128"/>
      </rPr>
      <t>【罹災特例】</t>
    </r>
    <r>
      <rPr>
        <b/>
        <sz val="16"/>
        <color theme="1"/>
        <rFont val="Meiryo UI"/>
        <family val="3"/>
        <charset val="128"/>
      </rPr>
      <t xml:space="preserve">　売上高計算シート⑤－２＜売上高減少額方式算出表＞  </t>
    </r>
    <phoneticPr fontId="1"/>
  </si>
  <si>
    <t>　　　（（ア）ー（ウ））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</si>
  <si>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※平成31年１月・２月の２か月間（直島町は2月のみ）</t>
    <rPh sb="1" eb="3">
      <t>ヘイセイ</t>
    </rPh>
    <rPh sb="5" eb="6">
      <t>ネン</t>
    </rPh>
    <rPh sb="7" eb="8">
      <t>ツキ</t>
    </rPh>
    <rPh sb="10" eb="11">
      <t>ガツ</t>
    </rPh>
    <rPh sb="14" eb="15">
      <t>ゲツ</t>
    </rPh>
    <rPh sb="15" eb="16">
      <t>カン</t>
    </rPh>
    <rPh sb="17" eb="20">
      <t>ナオシマチョウ</t>
    </rPh>
    <rPh sb="22" eb="23">
      <t>ガツ</t>
    </rPh>
    <phoneticPr fontId="1"/>
  </si>
  <si>
    <t>※令和２年１月・２月の２か月間（直島町は2月のみ）</t>
    <rPh sb="1" eb="3">
      <t>レイワ</t>
    </rPh>
    <rPh sb="4" eb="5">
      <t>ネン</t>
    </rPh>
    <rPh sb="6" eb="7">
      <t>ツキ</t>
    </rPh>
    <rPh sb="9" eb="10">
      <t>ガツ</t>
    </rPh>
    <rPh sb="13" eb="14">
      <t>ゲツ</t>
    </rPh>
    <rPh sb="14" eb="15">
      <t>カン</t>
    </rPh>
    <rPh sb="16" eb="19">
      <t>ナオシマチョウ</t>
    </rPh>
    <rPh sb="21" eb="22">
      <t>ガツ</t>
    </rPh>
    <phoneticPr fontId="1"/>
  </si>
  <si>
    <t>※令和３年１月・２月の２か月間（直島町は2月のみ）</t>
    <rPh sb="1" eb="3">
      <t>レイワ</t>
    </rPh>
    <rPh sb="4" eb="5">
      <t>ネン</t>
    </rPh>
    <rPh sb="6" eb="7">
      <t>ツキ</t>
    </rPh>
    <rPh sb="9" eb="10">
      <t>ガツ</t>
    </rPh>
    <rPh sb="13" eb="14">
      <t>ゲツ</t>
    </rPh>
    <rPh sb="14" eb="15">
      <t>カン</t>
    </rPh>
    <rPh sb="16" eb="19">
      <t>ナオシマチョウ</t>
    </rPh>
    <rPh sb="21" eb="22">
      <t>ガツ</t>
    </rPh>
    <phoneticPr fontId="1"/>
  </si>
  <si>
    <t>　※令和４年１月、２月の２か月間（直島町は2月のみ）</t>
    <rPh sb="2" eb="4">
      <t>レイワ</t>
    </rPh>
    <rPh sb="5" eb="6">
      <t>ネン</t>
    </rPh>
    <rPh sb="7" eb="8">
      <t>ツキ</t>
    </rPh>
    <rPh sb="10" eb="11">
      <t>ガツ</t>
    </rPh>
    <rPh sb="14" eb="16">
      <t>ゲツカン</t>
    </rPh>
    <phoneticPr fontId="1"/>
  </si>
  <si>
    <t>※平成31年１月、２月（直島町は2月のみ）</t>
    <rPh sb="1" eb="3">
      <t>ヘイセイ</t>
    </rPh>
    <rPh sb="5" eb="6">
      <t>ネン</t>
    </rPh>
    <rPh sb="7" eb="8">
      <t>ツキ</t>
    </rPh>
    <rPh sb="10" eb="11">
      <t>ガツ</t>
    </rPh>
    <phoneticPr fontId="1"/>
  </si>
  <si>
    <t>①（参照）月単位方式　平成31年１月、２月（注1）（ア）</t>
    <rPh sb="11" eb="13">
      <t>ヘイセイ</t>
    </rPh>
    <rPh sb="20" eb="21">
      <t>ガツ</t>
    </rPh>
    <rPh sb="22" eb="23">
      <t>チュウ</t>
    </rPh>
    <phoneticPr fontId="1"/>
  </si>
  <si>
    <t>　　時短要請期間　令和４年１月、２月（注1）（ウ）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rPh sb="17" eb="18">
      <t>ガツ</t>
    </rPh>
    <rPh sb="19" eb="20">
      <t>チュウ</t>
    </rPh>
    <phoneticPr fontId="1"/>
  </si>
  <si>
    <t>①（参照）月単位方式　平成31年１月、２月（注1）</t>
    <rPh sb="11" eb="13">
      <t>ヘイセイ</t>
    </rPh>
    <rPh sb="17" eb="18">
      <t>ガツ</t>
    </rPh>
    <rPh sb="20" eb="21">
      <t>ガツ</t>
    </rPh>
    <rPh sb="22" eb="23">
      <t>チュウ</t>
    </rPh>
    <phoneticPr fontId="1"/>
  </si>
  <si>
    <r>
      <t>②（参照）時短要請期間方式　平成３1</t>
    </r>
    <r>
      <rPr>
        <sz val="9"/>
        <rFont val="Meiryo UI"/>
        <family val="3"/>
        <charset val="128"/>
      </rPr>
      <t>年１/21～２/13（注2）</t>
    </r>
    <rPh sb="14" eb="16">
      <t>ヘイセイ</t>
    </rPh>
    <rPh sb="29" eb="30">
      <t>チュウ</t>
    </rPh>
    <phoneticPr fontId="1"/>
  </si>
  <si>
    <t>①（参照）月単位方式　令和２年１月、２月（注1）（ア）</t>
    <rPh sb="19" eb="20">
      <t>ガツ</t>
    </rPh>
    <rPh sb="21" eb="22">
      <t>チュウ</t>
    </rPh>
    <phoneticPr fontId="1"/>
  </si>
  <si>
    <t>②（参照）月単位方式　令和３年１月、２月（注1）（イ）</t>
    <rPh sb="19" eb="20">
      <t>ガツ</t>
    </rPh>
    <phoneticPr fontId="1"/>
  </si>
  <si>
    <t>　　時短要請期間　令和４年１月、２月（注1）（オ）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rPh sb="17" eb="18">
      <t>ガツ</t>
    </rPh>
    <phoneticPr fontId="1"/>
  </si>
  <si>
    <r>
      <t>③（参照）時短要請期間方式　</t>
    </r>
    <r>
      <rPr>
        <sz val="9"/>
        <rFont val="Meiryo UI"/>
        <family val="3"/>
        <charset val="128"/>
      </rPr>
      <t>令和２年１/21～２/13（注2）</t>
    </r>
    <r>
      <rPr>
        <sz val="9.5"/>
        <rFont val="Meiryo UI"/>
        <family val="3"/>
        <charset val="128"/>
      </rPr>
      <t>（ウ）</t>
    </r>
    <phoneticPr fontId="1"/>
  </si>
  <si>
    <t>　　時短要請期間　令和４年１/21～２/13（注2）（カ）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</si>
  <si>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（注1）直島町は2月のみ</t>
    <rPh sb="1" eb="2">
      <t>チュウ</t>
    </rPh>
    <phoneticPr fontId="1"/>
  </si>
  <si>
    <t>（注2）綾川町、まんのう町は1/25～2/13、直島町は2/2～2/13</t>
    <rPh sb="1" eb="2">
      <t>チュウ</t>
    </rPh>
    <phoneticPr fontId="1"/>
  </si>
  <si>
    <t>※売上高については、日々の売上ではなく、🄫とⒹに合計金額を直接入力することでも可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5" eb="27">
      <t>ゴウケイ</t>
    </rPh>
    <rPh sb="27" eb="29">
      <t>キンガク</t>
    </rPh>
    <rPh sb="30" eb="32">
      <t>チョクセツ</t>
    </rPh>
    <rPh sb="32" eb="34">
      <t>ニュウリョク</t>
    </rPh>
    <rPh sb="40" eb="41">
      <t>カ</t>
    </rPh>
    <phoneticPr fontId="1"/>
  </si>
  <si>
    <t>※売上高については、日々の売上ではなく、ⒺとⒻに合計金額を直接入力することでも可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</si>
  <si>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※売上高については、日々の売上ではなく、ⒼとⒽに合計金額を直接入力することでも可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</si>
  <si>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1月売上高計🄫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</si>
  <si>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※売上高については、日々の売上ではなく、ⒸとⒹに合計金額を直接入力することでも可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</si>
  <si>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1月売上高計©</t>
    <rPh sb="1" eb="2">
      <t>ガツ</t>
    </rPh>
    <rPh sb="2" eb="4">
      <t>ウリアゲ</t>
    </rPh>
    <rPh sb="4" eb="5">
      <t>ダカ</t>
    </rPh>
    <rPh sb="5" eb="6">
      <t>ケイ</t>
    </rPh>
    <phoneticPr fontId="1"/>
  </si>
  <si>
    <t>平成31年1/21から2/13（注）までの売上高計</t>
    <rPh sb="0" eb="2">
      <t>ヘイセイ</t>
    </rPh>
    <rPh sb="4" eb="5">
      <t>ネン</t>
    </rPh>
    <rPh sb="16" eb="17">
      <t>チュウ</t>
    </rPh>
    <rPh sb="21" eb="23">
      <t>ウリアゲ</t>
    </rPh>
    <rPh sb="23" eb="24">
      <t>ダカ</t>
    </rPh>
    <rPh sb="24" eb="25">
      <t>ケイ</t>
    </rPh>
    <phoneticPr fontId="1"/>
  </si>
  <si>
    <t>※平成31年1/21から2/13までの24日間
　　(注：綾川町、まんのう町は1/25からの20日間、直島町は2/2からの12日間)</t>
    <rPh sb="1" eb="3">
      <t>ヘイセイ</t>
    </rPh>
    <rPh sb="27" eb="28">
      <t>チュウ</t>
    </rPh>
    <rPh sb="29" eb="32">
      <t>アヤガワチョウ</t>
    </rPh>
    <rPh sb="37" eb="38">
      <t>チョウ</t>
    </rPh>
    <rPh sb="51" eb="54">
      <t>ナオシマチョウ</t>
    </rPh>
    <rPh sb="63" eb="65">
      <t>ニチカン</t>
    </rPh>
    <phoneticPr fontId="1"/>
  </si>
  <si>
    <t>令和４年１月２１日~２月１３日（注）売上高計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8" eb="20">
      <t>ウリアゲ</t>
    </rPh>
    <rPh sb="20" eb="21">
      <t>ダカ</t>
    </rPh>
    <rPh sb="21" eb="22">
      <t>ケイ</t>
    </rPh>
    <phoneticPr fontId="1"/>
  </si>
  <si>
    <t>※令和４年1/21から2/13までの24日間
　　(注：綾川町、まんのう町は1/25からの20日間、直島町は2/2からの12日間)</t>
    <rPh sb="1" eb="3">
      <t>レイワ</t>
    </rPh>
    <rPh sb="4" eb="5">
      <t>ネン</t>
    </rPh>
    <rPh sb="26" eb="27">
      <t>チュウ</t>
    </rPh>
    <rPh sb="28" eb="31">
      <t>アヤガワチョウ</t>
    </rPh>
    <rPh sb="36" eb="37">
      <t>チョウ</t>
    </rPh>
    <rPh sb="50" eb="53">
      <t>ナオシマチョウ</t>
    </rPh>
    <rPh sb="62" eb="64">
      <t>ニチカン</t>
    </rPh>
    <phoneticPr fontId="1"/>
  </si>
  <si>
    <t>令和４年１月２１日~２月１３日（注）売上高計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7">
      <t>チュウ</t>
    </rPh>
    <rPh sb="18" eb="20">
      <t>ウリアゲ</t>
    </rPh>
    <rPh sb="20" eb="21">
      <t>ダカ</t>
    </rPh>
    <rPh sb="21" eb="22">
      <t>ケイ</t>
    </rPh>
    <phoneticPr fontId="1"/>
  </si>
  <si>
    <t>※令和４年1/21から2/13までの24日間
　　(注：綾川町、まんのう町は1/25からの20日間、直島町は2/2からの12日間)</t>
    <rPh sb="1" eb="3">
      <t>レイワ</t>
    </rPh>
    <rPh sb="26" eb="27">
      <t>チュウ</t>
    </rPh>
    <phoneticPr fontId="1"/>
  </si>
  <si>
    <t>令和２年1/21～2/13（注）売上高計</t>
    <rPh sb="0" eb="2">
      <t>レイワ</t>
    </rPh>
    <rPh sb="3" eb="4">
      <t>ネン</t>
    </rPh>
    <phoneticPr fontId="1"/>
  </si>
  <si>
    <t>※令和２年1/21から2/13までの24日間
　　(注：綾川町、まんのう町は1/25からの20日間、直島町は2/2からの12日間)</t>
    <rPh sb="1" eb="3">
      <t>レイワ</t>
    </rPh>
    <rPh sb="26" eb="27">
      <t>チュウ</t>
    </rPh>
    <phoneticPr fontId="1"/>
  </si>
  <si>
    <t>令和３年1/21～2/13（注）売上高計</t>
    <rPh sb="0" eb="2">
      <t>レイワ</t>
    </rPh>
    <rPh sb="3" eb="4">
      <t>ネン</t>
    </rPh>
    <phoneticPr fontId="1"/>
  </si>
  <si>
    <t>※令和３年1/21から2/13までの24日間
　　(注：綾川町、まんのう町は1/25からの20日間、直島町は2/2からの12日間)</t>
    <rPh sb="1" eb="3">
      <t>レイワ</t>
    </rPh>
    <rPh sb="26" eb="27">
      <t>チュウ</t>
    </rPh>
    <phoneticPr fontId="1"/>
  </si>
  <si>
    <t>※令和２年1/21から2/13までの24日間
　(注：綾川町、まんのう町は1/25からの20日間、直島町は2/2からの12日間)</t>
    <rPh sb="1" eb="3">
      <t>レイワ</t>
    </rPh>
    <rPh sb="25" eb="26">
      <t>チュウ</t>
    </rPh>
    <phoneticPr fontId="1"/>
  </si>
  <si>
    <t>令和３年営業日数計（最大24日）</t>
    <rPh sb="4" eb="6">
      <t>エイギョウ</t>
    </rPh>
    <rPh sb="6" eb="8">
      <t>ニッスウ</t>
    </rPh>
    <rPh sb="8" eb="9">
      <t>ケイ</t>
    </rPh>
    <rPh sb="10" eb="12">
      <t>サイダイ</t>
    </rPh>
    <rPh sb="14" eb="15">
      <t>ニチ</t>
    </rPh>
    <phoneticPr fontId="1"/>
  </si>
  <si>
    <t>令和２年営業日数計（最大24日）</t>
    <rPh sb="4" eb="6">
      <t>エイギョウ</t>
    </rPh>
    <rPh sb="6" eb="8">
      <t>ニッスウ</t>
    </rPh>
    <rPh sb="8" eb="9">
      <t>ケイ</t>
    </rPh>
    <phoneticPr fontId="1"/>
  </si>
  <si>
    <t>令和２年営業日数計（最大24日）</t>
    <rPh sb="0" eb="2">
      <t>レイワ</t>
    </rPh>
    <rPh sb="3" eb="4">
      <t>ネン</t>
    </rPh>
    <rPh sb="4" eb="6">
      <t>エイギョウ</t>
    </rPh>
    <rPh sb="6" eb="8">
      <t>ニッスウ</t>
    </rPh>
    <rPh sb="8" eb="9">
      <t>ケイ</t>
    </rPh>
    <phoneticPr fontId="1"/>
  </si>
  <si>
    <t>令和３年営業日数計（最大24日）</t>
    <rPh sb="0" eb="2">
      <t>レイワ</t>
    </rPh>
    <rPh sb="3" eb="4">
      <t>ネン</t>
    </rPh>
    <rPh sb="4" eb="6">
      <t>エイギョウ</t>
    </rPh>
    <rPh sb="6" eb="8">
      <t>ニッスウ</t>
    </rPh>
    <rPh sb="8" eb="9">
      <t>ケイ</t>
    </rPh>
    <phoneticPr fontId="1"/>
  </si>
  <si>
    <t>令和４年営業日計</t>
    <rPh sb="0" eb="2">
      <t>レイワ</t>
    </rPh>
    <rPh sb="3" eb="4">
      <t>ネン</t>
    </rPh>
    <rPh sb="4" eb="7">
      <t>エイギョウビ</t>
    </rPh>
    <rPh sb="7" eb="8">
      <t>ケイ</t>
    </rPh>
    <phoneticPr fontId="1"/>
  </si>
  <si>
    <t>令和４年営業日計（最大24日）</t>
    <rPh sb="0" eb="2">
      <t>レイワ</t>
    </rPh>
    <rPh sb="3" eb="4">
      <t>ネン</t>
    </rPh>
    <rPh sb="4" eb="7">
      <t>エイギョウビ</t>
    </rPh>
    <rPh sb="7" eb="8">
      <t>ケイ</t>
    </rPh>
    <rPh sb="9" eb="11">
      <t>サイダイ</t>
    </rPh>
    <rPh sb="13" eb="14">
      <t>ニチ</t>
    </rPh>
    <phoneticPr fontId="1"/>
  </si>
  <si>
    <t>平成31年　営業日数計（最大２４日）</t>
    <rPh sb="0" eb="2">
      <t>ヘイセイ</t>
    </rPh>
    <rPh sb="4" eb="5">
      <t>ネン</t>
    </rPh>
    <rPh sb="6" eb="11">
      <t>エイギョウニッスウケイ</t>
    </rPh>
    <rPh sb="12" eb="14">
      <t>サイダイ</t>
    </rPh>
    <rPh sb="16" eb="17">
      <t>ニチ</t>
    </rPh>
    <phoneticPr fontId="1"/>
  </si>
  <si>
    <t>平成31年営業日数計（最大２４日）</t>
    <rPh sb="5" eb="7">
      <t>エイギョウ</t>
    </rPh>
    <rPh sb="7" eb="9">
      <t>ニッスウ</t>
    </rPh>
    <rPh sb="9" eb="10">
      <t>ケイ</t>
    </rPh>
    <rPh sb="11" eb="13">
      <t>サイダイ</t>
    </rPh>
    <rPh sb="15" eb="16">
      <t>ニチ</t>
    </rPh>
    <phoneticPr fontId="1"/>
  </si>
  <si>
    <t>令和４年営業日計（最大２４日）</t>
    <rPh sb="0" eb="2">
      <t>レイワ</t>
    </rPh>
    <rPh sb="3" eb="4">
      <t>ネン</t>
    </rPh>
    <rPh sb="4" eb="7">
      <t>エイギョウビ</t>
    </rPh>
    <rPh sb="7" eb="8">
      <t>ケイ</t>
    </rPh>
    <rPh sb="9" eb="11">
      <t>サイダイ</t>
    </rPh>
    <rPh sb="13" eb="14">
      <t>ニチ</t>
    </rPh>
    <phoneticPr fontId="1"/>
  </si>
  <si>
    <t>令和４年営業日計</t>
    <rPh sb="4" eb="7">
      <t>エイギョウビ</t>
    </rPh>
    <rPh sb="7" eb="8">
      <t>ケイ</t>
    </rPh>
    <phoneticPr fontId="1"/>
  </si>
  <si>
    <r>
      <t>②（参照）時短要請期間方式　平成31</t>
    </r>
    <r>
      <rPr>
        <sz val="9"/>
        <rFont val="Meiryo UI"/>
        <family val="3"/>
        <charset val="128"/>
      </rPr>
      <t>年１/21～２/13（注2）(</t>
    </r>
    <r>
      <rPr>
        <sz val="9.5"/>
        <rFont val="Meiryo UI"/>
        <family val="3"/>
        <charset val="128"/>
      </rPr>
      <t>イ)</t>
    </r>
    <rPh sb="14" eb="16">
      <t>ヘイセイ</t>
    </rPh>
    <rPh sb="29" eb="30">
      <t>チュウ</t>
    </rPh>
    <phoneticPr fontId="1"/>
  </si>
  <si>
    <t>　　時短要請期間　令和４年１/21～２/13（注2）（エ）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23" eb="24">
      <t>チュウ</t>
    </rPh>
    <phoneticPr fontId="1"/>
  </si>
  <si>
    <t>　　　（（イ）ー（エ））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</si>
  <si>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④（参照）時短要請期間方式　令和3年１/21～２/13（注2）(エ)</t>
    <phoneticPr fontId="1"/>
  </si>
  <si>
    <t>❶0.4　または　➋ 0.3</t>
    <phoneticPr fontId="1"/>
  </si>
  <si>
    <t>綾川町・まんのう町・直島町　以外</t>
  </si>
  <si>
    <t xml:space="preserve">↓上の入力結果が自動計算されます </t>
    <rPh sb="1" eb="2">
      <t>ウエ</t>
    </rPh>
    <rPh sb="3" eb="5">
      <t>ニュウリョク</t>
    </rPh>
    <rPh sb="5" eb="7">
      <t>ケッカ</t>
    </rPh>
    <rPh sb="8" eb="10">
      <t>ジドウ</t>
    </rPh>
    <rPh sb="10" eb="12">
      <t>ケイサン</t>
    </rPh>
    <phoneticPr fontId="1"/>
  </si>
  <si>
    <t>月単位方式</t>
    <rPh sb="0" eb="3">
      <t>ツキタンイ</t>
    </rPh>
    <rPh sb="3" eb="5">
      <t>ホウシキ</t>
    </rPh>
    <phoneticPr fontId="1"/>
  </si>
  <si>
    <t>時短要請期間方式</t>
    <rPh sb="0" eb="2">
      <t>ジタン</t>
    </rPh>
    <rPh sb="2" eb="4">
      <t>ヨウセイ</t>
    </rPh>
    <rPh sb="4" eb="6">
      <t>キカン</t>
    </rPh>
    <rPh sb="6" eb="8">
      <t>ホウシキ</t>
    </rPh>
    <phoneticPr fontId="1"/>
  </si>
  <si>
    <t>綾川町・まんのう町</t>
    <rPh sb="0" eb="9">
      <t>アヤガワマチテンマンノウマチ</t>
    </rPh>
    <phoneticPr fontId="1"/>
  </si>
  <si>
    <t>綾川町・まんのう町・直島町　以外</t>
    <rPh sb="0" eb="9">
      <t>アヤガワマチテンマンノウマチ</t>
    </rPh>
    <rPh sb="10" eb="13">
      <t>ナオシママチ</t>
    </rPh>
    <rPh sb="14" eb="16">
      <t>イガイ</t>
    </rPh>
    <phoneticPr fontId="1"/>
  </si>
  <si>
    <t>直島町反映</t>
    <rPh sb="0" eb="2">
      <t>ナオシマ</t>
    </rPh>
    <rPh sb="2" eb="3">
      <t>マチ</t>
    </rPh>
    <rPh sb="3" eb="5">
      <t>ハンエイ</t>
    </rPh>
    <phoneticPr fontId="1"/>
  </si>
  <si>
    <t>1月の営業日</t>
    <rPh sb="1" eb="2">
      <t>ガツ</t>
    </rPh>
    <rPh sb="3" eb="6">
      <t>エイギョウビ</t>
    </rPh>
    <phoneticPr fontId="1"/>
  </si>
  <si>
    <t>2月の営業日</t>
    <rPh sb="1" eb="2">
      <t>ガツ</t>
    </rPh>
    <rPh sb="3" eb="6">
      <t>エイギョウビ</t>
    </rPh>
    <phoneticPr fontId="1"/>
  </si>
  <si>
    <t>　　　上記　×　0.3（千円未満切り上げ）</t>
    <rPh sb="3" eb="5">
      <t>ジョウキ</t>
    </rPh>
    <rPh sb="12" eb="14">
      <t>センエン</t>
    </rPh>
    <rPh sb="14" eb="16">
      <t>ミマン</t>
    </rPh>
    <rPh sb="16" eb="17">
      <t>キ</t>
    </rPh>
    <rPh sb="18" eb="19">
      <t>ア</t>
    </rPh>
    <phoneticPr fontId="1"/>
  </si>
  <si>
    <t>１月売上高</t>
    <rPh sb="1" eb="2">
      <t>ガツ</t>
    </rPh>
    <rPh sb="2" eb="4">
      <t>ウリアゲ</t>
    </rPh>
    <rPh sb="4" eb="5">
      <t>ダカ</t>
    </rPh>
    <phoneticPr fontId="1"/>
  </si>
  <si>
    <t>２月売上高</t>
    <rPh sb="1" eb="2">
      <t>ガツ</t>
    </rPh>
    <rPh sb="2" eb="4">
      <t>ウリアゲ</t>
    </rPh>
    <rPh sb="4" eb="5">
      <t>ダカ</t>
    </rPh>
    <phoneticPr fontId="1"/>
  </si>
  <si>
    <t>上記計</t>
    <rPh sb="0" eb="2">
      <t>ジョウキ</t>
    </rPh>
    <rPh sb="2" eb="3">
      <t>ケイ</t>
    </rPh>
    <phoneticPr fontId="1"/>
  </si>
  <si>
    <t>共通</t>
    <rPh sb="0" eb="2">
      <t>キョウツウ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</si>
  <si>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</si>
  <si>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</si>
  <si>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営業日（時短）</t>
    <rPh sb="0" eb="3">
      <t>エイギョウビ</t>
    </rPh>
    <rPh sb="4" eb="6">
      <t>ジタン</t>
    </rPh>
    <phoneticPr fontId="1"/>
  </si>
  <si>
    <t>共通</t>
    <rPh sb="0" eb="2">
      <t>キョウツウ</t>
    </rPh>
    <phoneticPr fontId="1"/>
  </si>
  <si>
    <t>1月店休日(時短R２)</t>
    <rPh sb="1" eb="2">
      <t>ガツ</t>
    </rPh>
    <rPh sb="2" eb="5">
      <t>テンキュウビ</t>
    </rPh>
    <rPh sb="6" eb="8">
      <t>ジタン</t>
    </rPh>
    <phoneticPr fontId="1"/>
  </si>
  <si>
    <t>2月店休日（時短R2）</t>
    <rPh sb="1" eb="2">
      <t>ガツ</t>
    </rPh>
    <rPh sb="2" eb="5">
      <t>テンキュウビ</t>
    </rPh>
    <rPh sb="6" eb="8">
      <t>ジタン</t>
    </rPh>
    <phoneticPr fontId="1"/>
  </si>
  <si>
    <t>1月店休日（時短）R2</t>
    <rPh sb="1" eb="2">
      <t>ガツ</t>
    </rPh>
    <rPh sb="2" eb="5">
      <t>テンキュウビ</t>
    </rPh>
    <rPh sb="6" eb="8">
      <t>ジタン</t>
    </rPh>
    <phoneticPr fontId="1"/>
  </si>
  <si>
    <t>1月店休日(時短３２)</t>
    <rPh sb="1" eb="2">
      <t>ガツ</t>
    </rPh>
    <rPh sb="2" eb="5">
      <t>テンキュウビ</t>
    </rPh>
    <rPh sb="6" eb="8">
      <t>ジタン</t>
    </rPh>
    <phoneticPr fontId="1"/>
  </si>
  <si>
    <t>2月店休日（時短R３）</t>
    <rPh sb="1" eb="2">
      <t>ガツ</t>
    </rPh>
    <rPh sb="2" eb="5">
      <t>テンキュウビ</t>
    </rPh>
    <rPh sb="6" eb="8">
      <t>ジタン</t>
    </rPh>
    <phoneticPr fontId="1"/>
  </si>
  <si>
    <t>１月営業日</t>
    <rPh sb="1" eb="2">
      <t>ガツ</t>
    </rPh>
    <rPh sb="2" eb="5">
      <t>エイギョウビ</t>
    </rPh>
    <phoneticPr fontId="1"/>
  </si>
  <si>
    <t>以外</t>
    <rPh sb="0" eb="2">
      <t>イガイ</t>
    </rPh>
    <phoneticPr fontId="1"/>
  </si>
  <si>
    <t>綾川町・まんのう町</t>
    <rPh sb="0" eb="9">
      <t>アヤガワマチテンマンノウマチ</t>
    </rPh>
    <phoneticPr fontId="1"/>
  </si>
  <si>
    <t>直島町</t>
    <rPh sb="0" eb="3">
      <t>ナオシママチ</t>
    </rPh>
    <phoneticPr fontId="1"/>
  </si>
  <si>
    <t>１月店休日</t>
    <rPh sb="1" eb="2">
      <t>ガツ</t>
    </rPh>
    <rPh sb="2" eb="5">
      <t>テンキュウビ</t>
    </rPh>
    <phoneticPr fontId="1"/>
  </si>
  <si>
    <t>直島町</t>
    <rPh sb="0" eb="2">
      <t>ナオシマ</t>
    </rPh>
    <rPh sb="2" eb="3">
      <t>マチ</t>
    </rPh>
    <phoneticPr fontId="1"/>
  </si>
  <si>
    <t>１月売上高</t>
    <rPh sb="1" eb="2">
      <t>ガツ</t>
    </rPh>
    <rPh sb="2" eb="4">
      <t>ウリアゲ</t>
    </rPh>
    <rPh sb="4" eb="5">
      <t>ダカ</t>
    </rPh>
    <phoneticPr fontId="1"/>
  </si>
  <si>
    <t>２月営業日</t>
    <rPh sb="1" eb="2">
      <t>ガツ</t>
    </rPh>
    <rPh sb="2" eb="5">
      <t>エイギョウビ</t>
    </rPh>
    <phoneticPr fontId="1"/>
  </si>
  <si>
    <t>２月店休日</t>
    <rPh sb="1" eb="2">
      <t>ガツ</t>
    </rPh>
    <rPh sb="2" eb="5">
      <t>テンキュウビ</t>
    </rPh>
    <phoneticPr fontId="1"/>
  </si>
  <si>
    <t>２月売上高</t>
    <rPh sb="1" eb="2">
      <t>ガツ</t>
    </rPh>
    <rPh sb="2" eb="4">
      <t>ウリアゲ</t>
    </rPh>
    <rPh sb="4" eb="5">
      <t>ダカ</t>
    </rPh>
    <phoneticPr fontId="1"/>
  </si>
  <si>
    <t>❶0.3　または　➋ 0.4</t>
    <phoneticPr fontId="1"/>
  </si>
  <si>
    <t>❶0.3　または　➋ 0.4</t>
    <phoneticPr fontId="1"/>
  </si>
  <si>
    <t>　　　●下記Bの最も高い金額が、200,000円を上回れば、200,000にチェック</t>
    <phoneticPr fontId="1"/>
  </si>
  <si>
    <t>選択方式</t>
    <phoneticPr fontId="1"/>
  </si>
  <si>
    <t>1日当たりの支払い額（売上高×　(❶0.3、➋0.4) ）</t>
    <rPh sb="1" eb="2">
      <t>ニチ</t>
    </rPh>
    <rPh sb="2" eb="3">
      <t>ア</t>
    </rPh>
    <rPh sb="6" eb="8">
      <t>シハライ</t>
    </rPh>
    <rPh sb="9" eb="10">
      <t>ガク</t>
    </rPh>
    <rPh sb="11" eb="13">
      <t>ウリアゲ</t>
    </rPh>
    <rPh sb="13" eb="14">
      <t>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</si>
</sst>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m&quot;月&quot;"/>
    <numFmt numFmtId="177" formatCode="daaa"/>
    <numFmt numFmtId="178" formatCode="0_);[Red]\(0\)"/>
    <numFmt numFmtId="179" formatCode="d&quot;日（&quot;aaa&quot;）&quot;"/>
    <numFmt numFmtId="180" formatCode="yyyy/mm/dd"/>
    <numFmt numFmtId="181" formatCode="yyyy/m/d;@"/>
    <numFmt numFmtId="182" formatCode="m&quot;月計&quot;"/>
    <numFmt numFmtId="183" formatCode="#,##0.0;[Red]\-#,##0.0"/>
  </numFmts>
  <fonts count="3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8"/>
      <color rgb="FFFF0000"/>
      <name val="HGPｺﾞｼｯｸE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2"/>
      <charset val="128"/>
    </font>
    <font>
      <b/>
      <sz val="16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0"/>
      <color rgb="FFFF0000"/>
      <name val="HGPｺﾞｼｯｸE"/>
      <family val="3"/>
      <charset val="128"/>
    </font>
    <font>
      <u/>
      <sz val="12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sz val="10"/>
      <color theme="0" tint="-0.34998626667073579"/>
      <name val="Meiryo UI"/>
      <family val="3"/>
      <charset val="128"/>
    </font>
    <font>
      <sz val="9.5"/>
      <color theme="0" tint="-0.34998626667073579"/>
      <name val="Meiryo UI"/>
      <family val="3"/>
      <charset val="128"/>
    </font>
    <font>
      <sz val="12"/>
      <color theme="0" tint="-0.34998626667073579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lightVertical">
        <fgColor theme="5" tint="0.59996337778862885"/>
        <bgColor indexed="65"/>
      </patternFill>
    </fill>
    <fill>
      <patternFill patternType="lightVertical">
        <fgColor theme="9" tint="0.39994506668294322"/>
        <bgColor indexed="65"/>
      </patternFill>
    </fill>
  </fills>
  <borders count="14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Dashed">
        <color rgb="FFFF0000"/>
      </top>
      <bottom/>
      <diagonal/>
    </border>
    <border>
      <left/>
      <right/>
      <top/>
      <bottom style="mediumDash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Dashed">
        <color rgb="FFFFC000"/>
      </left>
      <right/>
      <top style="mediumDashed">
        <color rgb="FFFFC000"/>
      </top>
      <bottom/>
      <diagonal/>
    </border>
    <border>
      <left/>
      <right/>
      <top style="mediumDashed">
        <color rgb="FFFFC000"/>
      </top>
      <bottom/>
      <diagonal/>
    </border>
    <border>
      <left/>
      <right style="mediumDashed">
        <color rgb="FFFFC000"/>
      </right>
      <top style="mediumDashed">
        <color rgb="FFFFC000"/>
      </top>
      <bottom/>
      <diagonal/>
    </border>
    <border>
      <left style="mediumDashed">
        <color rgb="FFFFC000"/>
      </left>
      <right/>
      <top/>
      <bottom/>
      <diagonal/>
    </border>
    <border>
      <left/>
      <right style="mediumDashed">
        <color rgb="FFFFC000"/>
      </right>
      <top/>
      <bottom/>
      <diagonal/>
    </border>
    <border>
      <left style="thin">
        <color theme="0" tint="-0.499984740745262"/>
      </left>
      <right style="mediumDashed">
        <color rgb="FFFFC000"/>
      </right>
      <top/>
      <bottom/>
      <diagonal/>
    </border>
    <border>
      <left style="mediumDashed">
        <color rgb="FFFFC000"/>
      </left>
      <right/>
      <top style="mediumDashed">
        <color rgb="FFFF0000"/>
      </top>
      <bottom/>
      <diagonal/>
    </border>
    <border>
      <left/>
      <right style="mediumDashed">
        <color rgb="FFFFC000"/>
      </right>
      <top style="mediumDashed">
        <color rgb="FFFF0000"/>
      </top>
      <bottom/>
      <diagonal/>
    </border>
    <border>
      <left style="mediumDashed">
        <color rgb="FFFFC000"/>
      </left>
      <right/>
      <top/>
      <bottom style="mediumDashed">
        <color rgb="FFFFC000"/>
      </bottom>
      <diagonal/>
    </border>
    <border>
      <left/>
      <right/>
      <top/>
      <bottom style="mediumDashed">
        <color rgb="FFFFC000"/>
      </bottom>
      <diagonal/>
    </border>
    <border>
      <left/>
      <right style="mediumDashed">
        <color rgb="FFFFC000"/>
      </right>
      <top/>
      <bottom style="mediumDashed">
        <color rgb="FFFFC000"/>
      </bottom>
      <diagonal/>
    </border>
    <border>
      <left style="mediumDashed">
        <color rgb="FFFFC000"/>
      </left>
      <right style="mediumDashed">
        <color rgb="FFFFC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Dashed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Dashed">
        <color rgb="FFFFC000"/>
      </right>
      <top/>
      <bottom style="medium">
        <color rgb="FFFFC000"/>
      </bottom>
      <diagonal/>
    </border>
    <border>
      <left style="mediumDashed">
        <color theme="7"/>
      </left>
      <right/>
      <top/>
      <bottom/>
      <diagonal/>
    </border>
    <border>
      <left/>
      <right style="mediumDashed">
        <color theme="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Dashed">
        <color rgb="FFFFC000"/>
      </top>
      <bottom style="mediumDashed">
        <color rgb="FFFF0000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Dashed">
        <color rgb="FFFF0000"/>
      </bottom>
      <diagonal/>
    </border>
    <border>
      <left/>
      <right style="mediumDashed">
        <color rgb="FFFFC000"/>
      </right>
      <top/>
      <bottom style="mediumDashed">
        <color rgb="FFFF000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Dashed">
        <color rgb="FFFFC000"/>
      </left>
      <right/>
      <top style="mediumDashed">
        <color rgb="FFFFC000"/>
      </top>
      <bottom style="mediumDashed">
        <color rgb="FFFF0000"/>
      </bottom>
      <diagonal/>
    </border>
    <border>
      <left/>
      <right style="mediumDashed">
        <color rgb="FFFFC000"/>
      </right>
      <top style="mediumDashed">
        <color rgb="FFFFC000"/>
      </top>
      <bottom style="mediumDashed">
        <color rgb="FFFF0000"/>
      </bottom>
      <diagonal/>
    </border>
    <border>
      <left style="mediumDashed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mediumDashed">
        <color rgb="FFFFC000"/>
      </right>
      <top/>
      <bottom style="thick">
        <color rgb="FFFFC000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/>
      <diagonal/>
    </border>
    <border>
      <left style="thick">
        <color rgb="FFFF0000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auto="1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Dashed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ck">
        <color rgb="FFFF000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mediumDashed">
        <color rgb="FFFFC000"/>
      </left>
      <right/>
      <top style="medium">
        <color rgb="FFFFC000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 style="thick">
        <color rgb="FFFF0000"/>
      </left>
      <right style="thin">
        <color theme="0" tint="-0.499984740745262"/>
      </right>
      <top/>
      <bottom style="thick">
        <color rgb="FFFF0000"/>
      </bottom>
      <diagonal/>
    </border>
    <border>
      <left/>
      <right style="thin">
        <color theme="0" tint="-0.499984740745262"/>
      </right>
      <top/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mediumDashed">
        <color rgb="FFFFC000"/>
      </right>
      <top/>
      <bottom/>
      <diagonal/>
    </border>
    <border>
      <left style="medium">
        <color rgb="FFFFC000"/>
      </left>
      <right/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 style="thick">
        <color rgb="FFFF0000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 style="thick">
        <color rgb="FFFF0000"/>
      </left>
      <right style="thin">
        <color theme="0" tint="-0.499984740745262"/>
      </right>
      <top style="thin">
        <color auto="1"/>
      </top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n">
        <color indexed="64"/>
      </left>
      <right style="mediumDashed">
        <color rgb="FFFFC00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slantDashDot">
        <color theme="1" tint="0.499984740745262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auto="1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8" fontId="4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78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0" fontId="13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9" fillId="0" borderId="0" xfId="0" applyFont="1" applyFill="1">
      <alignment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6" fillId="2" borderId="0" xfId="0" applyNumberFormat="1" applyFont="1" applyFill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14" fillId="0" borderId="19" xfId="0" applyFont="1" applyBorder="1" applyAlignment="1">
      <alignment horizontal="right" vertical="center"/>
    </xf>
    <xf numFmtId="0" fontId="15" fillId="0" borderId="18" xfId="0" applyFont="1" applyBorder="1">
      <alignment vertical="center"/>
    </xf>
    <xf numFmtId="177" fontId="8" fillId="0" borderId="20" xfId="0" applyNumberFormat="1" applyFont="1" applyBorder="1" applyAlignment="1">
      <alignment horizontal="left" vertical="center"/>
    </xf>
    <xf numFmtId="177" fontId="8" fillId="0" borderId="21" xfId="0" applyNumberFormat="1" applyFont="1" applyBorder="1" applyAlignment="1">
      <alignment horizontal="left" vertical="center"/>
    </xf>
    <xf numFmtId="180" fontId="0" fillId="0" borderId="21" xfId="0" applyNumberFormat="1" applyBorder="1" applyAlignment="1">
      <alignment horizontal="center" vertical="center"/>
    </xf>
    <xf numFmtId="177" fontId="8" fillId="0" borderId="23" xfId="0" applyNumberFormat="1" applyFont="1" applyBorder="1" applyAlignment="1">
      <alignment horizontal="left" vertical="center"/>
    </xf>
    <xf numFmtId="177" fontId="8" fillId="0" borderId="24" xfId="0" applyNumberFormat="1" applyFont="1" applyBorder="1" applyAlignment="1">
      <alignment horizontal="left" vertical="center"/>
    </xf>
    <xf numFmtId="180" fontId="0" fillId="0" borderId="24" xfId="0" applyNumberFormat="1" applyBorder="1" applyAlignment="1">
      <alignment horizontal="center" vertical="center"/>
    </xf>
    <xf numFmtId="177" fontId="8" fillId="0" borderId="25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77" fontId="8" fillId="0" borderId="26" xfId="0" applyNumberFormat="1" applyFont="1" applyBorder="1" applyAlignment="1">
      <alignment horizontal="left" vertical="center"/>
    </xf>
    <xf numFmtId="177" fontId="8" fillId="0" borderId="27" xfId="0" applyNumberFormat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left" vertical="center"/>
    </xf>
    <xf numFmtId="180" fontId="0" fillId="0" borderId="26" xfId="0" applyNumberFormat="1" applyBorder="1" applyAlignment="1">
      <alignment horizontal="center" vertical="center"/>
    </xf>
    <xf numFmtId="177" fontId="8" fillId="0" borderId="27" xfId="0" applyNumberFormat="1" applyFont="1" applyBorder="1" applyAlignment="1">
      <alignment horizontal="left" vertical="center"/>
    </xf>
    <xf numFmtId="180" fontId="0" fillId="0" borderId="23" xfId="0" applyNumberFormat="1" applyBorder="1" applyAlignment="1">
      <alignment horizontal="center" vertical="center"/>
    </xf>
    <xf numFmtId="177" fontId="8" fillId="0" borderId="25" xfId="0" applyNumberFormat="1" applyFont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180" fontId="0" fillId="0" borderId="0" xfId="0" applyNumberFormat="1" applyBorder="1" applyAlignment="1">
      <alignment horizontal="center" vertical="center"/>
    </xf>
    <xf numFmtId="38" fontId="9" fillId="0" borderId="0" xfId="1" applyFont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/>
    </xf>
    <xf numFmtId="0" fontId="9" fillId="0" borderId="26" xfId="0" applyFont="1" applyBorder="1">
      <alignment vertical="center"/>
    </xf>
    <xf numFmtId="0" fontId="9" fillId="0" borderId="23" xfId="0" applyFont="1" applyBorder="1">
      <alignment vertical="center"/>
    </xf>
    <xf numFmtId="38" fontId="8" fillId="0" borderId="27" xfId="1" applyFont="1" applyBorder="1" applyAlignment="1">
      <alignment horizontal="right" vertical="center"/>
    </xf>
    <xf numFmtId="38" fontId="8" fillId="0" borderId="25" xfId="1" applyFont="1" applyBorder="1" applyAlignment="1">
      <alignment horizontal="right" vertical="center"/>
    </xf>
    <xf numFmtId="180" fontId="0" fillId="0" borderId="20" xfId="0" applyNumberFormat="1" applyBorder="1" applyAlignment="1">
      <alignment horizontal="center" vertical="center"/>
    </xf>
    <xf numFmtId="38" fontId="9" fillId="0" borderId="20" xfId="1" applyFont="1" applyBorder="1">
      <alignment vertical="center"/>
    </xf>
    <xf numFmtId="0" fontId="9" fillId="0" borderId="20" xfId="0" applyFont="1" applyBorder="1">
      <alignment vertical="center"/>
    </xf>
    <xf numFmtId="0" fontId="9" fillId="0" borderId="12" xfId="0" applyFont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8" fillId="0" borderId="22" xfId="1" applyFont="1" applyBorder="1" applyAlignment="1">
      <alignment horizontal="right" vertical="center"/>
    </xf>
    <xf numFmtId="180" fontId="0" fillId="0" borderId="28" xfId="0" applyNumberFormat="1" applyBorder="1" applyAlignment="1">
      <alignment horizontal="center" vertical="center"/>
    </xf>
    <xf numFmtId="38" fontId="9" fillId="0" borderId="28" xfId="1" applyFont="1" applyBorder="1">
      <alignment vertical="center"/>
    </xf>
    <xf numFmtId="0" fontId="0" fillId="0" borderId="28" xfId="0" applyBorder="1" applyAlignment="1">
      <alignment vertical="center"/>
    </xf>
    <xf numFmtId="0" fontId="9" fillId="0" borderId="2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8" fillId="0" borderId="20" xfId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5" fillId="0" borderId="28" xfId="0" applyFont="1" applyBorder="1">
      <alignment vertical="center"/>
    </xf>
    <xf numFmtId="178" fontId="4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9" fontId="8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179" fontId="22" fillId="0" borderId="0" xfId="0" applyNumberFormat="1" applyFont="1" applyFill="1" applyBorder="1" applyAlignment="1">
      <alignment horizontal="left" vertical="center"/>
    </xf>
    <xf numFmtId="179" fontId="8" fillId="0" borderId="18" xfId="0" applyNumberFormat="1" applyFont="1" applyFill="1" applyBorder="1" applyAlignment="1">
      <alignment horizontal="left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30" xfId="0" applyFont="1" applyBorder="1">
      <alignment vertical="center"/>
    </xf>
    <xf numFmtId="178" fontId="4" fillId="0" borderId="31" xfId="0" applyNumberFormat="1" applyFont="1" applyBorder="1">
      <alignment vertical="center"/>
    </xf>
    <xf numFmtId="0" fontId="3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7" fillId="0" borderId="33" xfId="0" applyFont="1" applyBorder="1">
      <alignment vertical="center"/>
    </xf>
    <xf numFmtId="0" fontId="7" fillId="2" borderId="33" xfId="0" applyFont="1" applyFill="1" applyBorder="1">
      <alignment vertical="center"/>
    </xf>
    <xf numFmtId="176" fontId="6" fillId="2" borderId="35" xfId="0" applyNumberFormat="1" applyFont="1" applyFill="1" applyBorder="1" applyAlignment="1">
      <alignment horizontal="center" vertical="center"/>
    </xf>
    <xf numFmtId="0" fontId="9" fillId="0" borderId="33" xfId="0" applyFont="1" applyBorder="1">
      <alignment vertical="center"/>
    </xf>
    <xf numFmtId="38" fontId="8" fillId="0" borderId="34" xfId="1" applyFont="1" applyBorder="1" applyAlignment="1" applyProtection="1">
      <alignment horizontal="right" vertical="center"/>
      <protection locked="0"/>
    </xf>
    <xf numFmtId="0" fontId="9" fillId="0" borderId="36" xfId="0" applyFont="1" applyFill="1" applyBorder="1">
      <alignment vertical="center"/>
    </xf>
    <xf numFmtId="38" fontId="8" fillId="0" borderId="37" xfId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0" fontId="9" fillId="0" borderId="33" xfId="0" applyFont="1" applyFill="1" applyBorder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4" xfId="1" applyFont="1" applyBorder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3" fillId="0" borderId="30" xfId="0" applyFont="1" applyBorder="1">
      <alignment vertical="center"/>
    </xf>
    <xf numFmtId="178" fontId="4" fillId="0" borderId="32" xfId="0" applyNumberFormat="1" applyFont="1" applyBorder="1">
      <alignment vertical="center"/>
    </xf>
    <xf numFmtId="176" fontId="6" fillId="0" borderId="33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38" fontId="8" fillId="0" borderId="33" xfId="1" applyFont="1" applyBorder="1" applyAlignment="1">
      <alignment horizontal="right" vertical="center"/>
    </xf>
    <xf numFmtId="38" fontId="8" fillId="0" borderId="36" xfId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38" fontId="8" fillId="0" borderId="33" xfId="1" applyFont="1" applyFill="1" applyBorder="1" applyAlignment="1">
      <alignment horizontal="right" vertical="center"/>
    </xf>
    <xf numFmtId="0" fontId="2" fillId="0" borderId="40" xfId="0" applyFont="1" applyBorder="1">
      <alignment vertical="center"/>
    </xf>
    <xf numFmtId="0" fontId="14" fillId="0" borderId="34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left" vertical="center"/>
    </xf>
    <xf numFmtId="0" fontId="23" fillId="0" borderId="18" xfId="0" applyFont="1" applyBorder="1">
      <alignment vertical="center"/>
    </xf>
    <xf numFmtId="0" fontId="3" fillId="0" borderId="41" xfId="0" applyFont="1" applyBorder="1">
      <alignment vertical="center"/>
    </xf>
    <xf numFmtId="179" fontId="8" fillId="0" borderId="16" xfId="0" applyNumberFormat="1" applyFont="1" applyFill="1" applyBorder="1" applyAlignment="1">
      <alignment horizontal="left" vertical="center"/>
    </xf>
    <xf numFmtId="179" fontId="19" fillId="0" borderId="0" xfId="0" applyNumberFormat="1" applyFont="1" applyFill="1" applyBorder="1" applyAlignment="1">
      <alignment horizontal="left" vertical="center"/>
    </xf>
    <xf numFmtId="179" fontId="23" fillId="0" borderId="18" xfId="0" applyNumberFormat="1" applyFont="1" applyFill="1" applyBorder="1" applyAlignment="1">
      <alignment horizontal="left" vertical="center"/>
    </xf>
    <xf numFmtId="0" fontId="2" fillId="0" borderId="45" xfId="0" applyFont="1" applyBorder="1">
      <alignment vertical="center"/>
    </xf>
    <xf numFmtId="178" fontId="10" fillId="0" borderId="46" xfId="0" applyNumberFormat="1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5" xfId="0" applyFont="1" applyBorder="1">
      <alignment vertical="center"/>
    </xf>
    <xf numFmtId="178" fontId="5" fillId="0" borderId="46" xfId="0" applyNumberFormat="1" applyFont="1" applyBorder="1" applyAlignment="1">
      <alignment horizontal="right" vertical="center"/>
    </xf>
    <xf numFmtId="178" fontId="4" fillId="0" borderId="46" xfId="0" applyNumberFormat="1" applyFont="1" applyBorder="1">
      <alignment vertical="center"/>
    </xf>
    <xf numFmtId="178" fontId="4" fillId="0" borderId="47" xfId="0" applyNumberFormat="1" applyFont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176" fontId="6" fillId="2" borderId="34" xfId="0" applyNumberFormat="1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38" fontId="8" fillId="0" borderId="34" xfId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6" fontId="6" fillId="2" borderId="53" xfId="0" applyNumberFormat="1" applyFont="1" applyFill="1" applyBorder="1" applyAlignment="1">
      <alignment horizontal="center" vertical="center"/>
    </xf>
    <xf numFmtId="176" fontId="6" fillId="2" borderId="54" xfId="0" applyNumberFormat="1" applyFont="1" applyFill="1" applyBorder="1" applyAlignment="1">
      <alignment horizontal="center" vertical="center"/>
    </xf>
    <xf numFmtId="179" fontId="8" fillId="0" borderId="55" xfId="0" applyNumberFormat="1" applyFont="1" applyFill="1" applyBorder="1" applyAlignment="1">
      <alignment horizontal="left" vertical="center"/>
    </xf>
    <xf numFmtId="176" fontId="6" fillId="2" borderId="33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179" fontId="8" fillId="2" borderId="0" xfId="0" applyNumberFormat="1" applyFont="1" applyFill="1" applyBorder="1" applyAlignment="1" applyProtection="1">
      <alignment horizontal="center" vertical="center"/>
      <protection locked="0"/>
    </xf>
    <xf numFmtId="178" fontId="15" fillId="0" borderId="46" xfId="0" applyNumberFormat="1" applyFont="1" applyBorder="1">
      <alignment vertical="center"/>
    </xf>
    <xf numFmtId="178" fontId="6" fillId="2" borderId="0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left" vertical="center"/>
    </xf>
    <xf numFmtId="179" fontId="8" fillId="0" borderId="55" xfId="0" applyNumberFormat="1" applyFont="1" applyFill="1" applyBorder="1" applyAlignment="1">
      <alignment horizontal="center" vertical="center"/>
    </xf>
    <xf numFmtId="0" fontId="2" fillId="0" borderId="59" xfId="0" applyFont="1" applyBorder="1">
      <alignment vertical="center"/>
    </xf>
    <xf numFmtId="38" fontId="8" fillId="0" borderId="60" xfId="1" applyFont="1" applyBorder="1" applyAlignment="1">
      <alignment horizontal="right" vertical="center"/>
    </xf>
    <xf numFmtId="0" fontId="2" fillId="0" borderId="60" xfId="0" applyFont="1" applyBorder="1">
      <alignment vertical="center"/>
    </xf>
    <xf numFmtId="179" fontId="8" fillId="0" borderId="14" xfId="0" applyNumberFormat="1" applyFont="1" applyFill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38" fontId="8" fillId="0" borderId="34" xfId="1" applyFont="1" applyBorder="1" applyAlignment="1">
      <alignment horizontal="left" vertical="center"/>
    </xf>
    <xf numFmtId="182" fontId="8" fillId="0" borderId="0" xfId="0" applyNumberFormat="1" applyFont="1" applyFill="1" applyBorder="1" applyAlignment="1">
      <alignment vertical="center"/>
    </xf>
    <xf numFmtId="178" fontId="5" fillId="0" borderId="57" xfId="0" applyNumberFormat="1" applyFont="1" applyBorder="1" applyAlignment="1">
      <alignment vertical="center"/>
    </xf>
    <xf numFmtId="38" fontId="27" fillId="0" borderId="8" xfId="1" applyFont="1" applyBorder="1" applyAlignment="1">
      <alignment vertical="center" shrinkToFit="1"/>
    </xf>
    <xf numFmtId="0" fontId="27" fillId="0" borderId="0" xfId="0" applyFont="1" applyBorder="1">
      <alignment vertical="center"/>
    </xf>
    <xf numFmtId="38" fontId="27" fillId="0" borderId="0" xfId="1" applyFont="1" applyBorder="1">
      <alignment vertical="center"/>
    </xf>
    <xf numFmtId="177" fontId="8" fillId="0" borderId="22" xfId="0" applyNumberFormat="1" applyFont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center" vertical="center"/>
    </xf>
    <xf numFmtId="38" fontId="8" fillId="0" borderId="0" xfId="1" applyFont="1" applyBorder="1" applyAlignment="1" applyProtection="1">
      <alignment horizontal="right" vertical="center" shrinkToFit="1"/>
      <protection locked="0"/>
    </xf>
    <xf numFmtId="0" fontId="3" fillId="0" borderId="34" xfId="0" applyFont="1" applyBorder="1">
      <alignment vertical="center"/>
    </xf>
    <xf numFmtId="178" fontId="10" fillId="0" borderId="0" xfId="0" applyNumberFormat="1" applyFont="1" applyBorder="1">
      <alignment vertical="center"/>
    </xf>
    <xf numFmtId="38" fontId="2" fillId="0" borderId="34" xfId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2" fillId="0" borderId="64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65" xfId="0" applyFont="1" applyBorder="1">
      <alignment vertical="center"/>
    </xf>
    <xf numFmtId="178" fontId="4" fillId="0" borderId="57" xfId="0" applyNumberFormat="1" applyFont="1" applyBorder="1">
      <alignment vertical="center"/>
    </xf>
    <xf numFmtId="0" fontId="18" fillId="0" borderId="57" xfId="0" applyFont="1" applyBorder="1">
      <alignment vertical="center"/>
    </xf>
    <xf numFmtId="0" fontId="3" fillId="0" borderId="33" xfId="0" applyFont="1" applyBorder="1">
      <alignment vertical="center"/>
    </xf>
    <xf numFmtId="0" fontId="14" fillId="0" borderId="33" xfId="0" applyFont="1" applyBorder="1" applyAlignment="1">
      <alignment horizontal="right" vertical="center"/>
    </xf>
    <xf numFmtId="0" fontId="14" fillId="0" borderId="60" xfId="0" applyFont="1" applyBorder="1" applyAlignment="1">
      <alignment horizontal="right" vertical="center"/>
    </xf>
    <xf numFmtId="0" fontId="2" fillId="0" borderId="66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68" xfId="0" applyFont="1" applyBorder="1">
      <alignment vertical="center"/>
    </xf>
    <xf numFmtId="0" fontId="9" fillId="0" borderId="66" xfId="0" applyFont="1" applyFill="1" applyBorder="1">
      <alignment vertical="center"/>
    </xf>
    <xf numFmtId="179" fontId="8" fillId="0" borderId="67" xfId="0" applyNumberFormat="1" applyFont="1" applyFill="1" applyBorder="1" applyAlignment="1">
      <alignment horizontal="left" vertical="center"/>
    </xf>
    <xf numFmtId="38" fontId="8" fillId="0" borderId="67" xfId="1" applyFont="1" applyFill="1" applyBorder="1" applyAlignment="1">
      <alignment horizontal="right" vertical="center"/>
    </xf>
    <xf numFmtId="38" fontId="8" fillId="0" borderId="68" xfId="1" applyFont="1" applyFill="1" applyBorder="1" applyAlignment="1">
      <alignment horizontal="right" vertical="center"/>
    </xf>
    <xf numFmtId="179" fontId="8" fillId="4" borderId="63" xfId="0" applyNumberFormat="1" applyFont="1" applyFill="1" applyBorder="1" applyAlignment="1" applyProtection="1">
      <alignment horizontal="center" vertical="center"/>
      <protection locked="0"/>
    </xf>
    <xf numFmtId="179" fontId="8" fillId="0" borderId="71" xfId="0" applyNumberFormat="1" applyFont="1" applyFill="1" applyBorder="1" applyAlignment="1">
      <alignment horizontal="center" vertical="center"/>
    </xf>
    <xf numFmtId="179" fontId="8" fillId="0" borderId="73" xfId="0" applyNumberFormat="1" applyFont="1" applyFill="1" applyBorder="1" applyAlignment="1">
      <alignment horizontal="center" vertical="center"/>
    </xf>
    <xf numFmtId="179" fontId="8" fillId="4" borderId="2" xfId="0" applyNumberFormat="1" applyFont="1" applyFill="1" applyBorder="1" applyAlignment="1" applyProtection="1">
      <alignment horizontal="center" vertical="center"/>
      <protection locked="0"/>
    </xf>
    <xf numFmtId="179" fontId="8" fillId="4" borderId="43" xfId="0" applyNumberFormat="1" applyFont="1" applyFill="1" applyBorder="1" applyAlignment="1" applyProtection="1">
      <alignment horizontal="center" vertical="center"/>
      <protection locked="0"/>
    </xf>
    <xf numFmtId="179" fontId="8" fillId="3" borderId="1" xfId="0" applyNumberFormat="1" applyFont="1" applyFill="1" applyBorder="1" applyAlignment="1" applyProtection="1">
      <alignment horizontal="center" vertical="center"/>
      <protection locked="0"/>
    </xf>
    <xf numFmtId="179" fontId="8" fillId="3" borderId="4" xfId="0" applyNumberFormat="1" applyFont="1" applyFill="1" applyBorder="1" applyAlignment="1" applyProtection="1">
      <alignment horizontal="center" vertical="center"/>
      <protection locked="0"/>
    </xf>
    <xf numFmtId="179" fontId="8" fillId="0" borderId="69" xfId="0" applyNumberFormat="1" applyFont="1" applyFill="1" applyBorder="1" applyAlignment="1">
      <alignment horizontal="left" vertical="center"/>
    </xf>
    <xf numFmtId="179" fontId="8" fillId="0" borderId="71" xfId="0" applyNumberFormat="1" applyFont="1" applyFill="1" applyBorder="1" applyAlignment="1">
      <alignment horizontal="left" vertical="center"/>
    </xf>
    <xf numFmtId="179" fontId="8" fillId="0" borderId="69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29" fillId="0" borderId="0" xfId="0" applyFont="1">
      <alignment vertical="center"/>
    </xf>
    <xf numFmtId="14" fontId="3" fillId="0" borderId="5" xfId="0" applyNumberFormat="1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14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14" fontId="10" fillId="0" borderId="0" xfId="0" applyNumberFormat="1" applyFont="1">
      <alignment vertical="center"/>
    </xf>
    <xf numFmtId="176" fontId="6" fillId="2" borderId="79" xfId="0" applyNumberFormat="1" applyFont="1" applyFill="1" applyBorder="1" applyAlignment="1">
      <alignment horizontal="center" vertical="center"/>
    </xf>
    <xf numFmtId="176" fontId="6" fillId="2" borderId="79" xfId="0" applyNumberFormat="1" applyFont="1" applyFill="1" applyBorder="1" applyAlignment="1" applyProtection="1">
      <alignment horizontal="center" vertical="center"/>
    </xf>
    <xf numFmtId="179" fontId="8" fillId="0" borderId="4" xfId="0" applyNumberFormat="1" applyFont="1" applyFill="1" applyBorder="1" applyAlignment="1">
      <alignment horizontal="left" vertical="center"/>
    </xf>
    <xf numFmtId="178" fontId="8" fillId="6" borderId="80" xfId="0" applyNumberFormat="1" applyFont="1" applyFill="1" applyBorder="1" applyAlignment="1" applyProtection="1">
      <alignment horizontal="center" vertical="center"/>
      <protection locked="0"/>
    </xf>
    <xf numFmtId="178" fontId="8" fillId="6" borderId="4" xfId="0" applyNumberFormat="1" applyFont="1" applyFill="1" applyBorder="1" applyAlignment="1" applyProtection="1">
      <alignment horizontal="center" vertical="center"/>
      <protection locked="0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178" fontId="8" fillId="6" borderId="1" xfId="0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right" vertical="center" shrinkToFit="1"/>
      <protection locked="0"/>
    </xf>
    <xf numFmtId="179" fontId="8" fillId="0" borderId="1" xfId="0" applyNumberFormat="1" applyFont="1" applyFill="1" applyBorder="1" applyAlignment="1">
      <alignment horizontal="left" vertical="center"/>
    </xf>
    <xf numFmtId="178" fontId="8" fillId="6" borderId="75" xfId="0" applyNumberFormat="1" applyFont="1" applyFill="1" applyBorder="1" applyAlignment="1" applyProtection="1">
      <alignment horizontal="center" vertical="center"/>
      <protection locked="0"/>
    </xf>
    <xf numFmtId="38" fontId="8" fillId="0" borderId="75" xfId="1" applyFont="1" applyBorder="1" applyAlignment="1" applyProtection="1">
      <alignment horizontal="right" vertical="center" shrinkToFit="1"/>
      <protection locked="0"/>
    </xf>
    <xf numFmtId="38" fontId="8" fillId="0" borderId="1" xfId="1" applyFont="1" applyBorder="1" applyAlignment="1">
      <alignment horizontal="right" vertical="center"/>
    </xf>
    <xf numFmtId="0" fontId="30" fillId="0" borderId="0" xfId="0" applyFont="1">
      <alignment vertical="center"/>
    </xf>
    <xf numFmtId="0" fontId="30" fillId="0" borderId="81" xfId="0" applyFont="1" applyBorder="1">
      <alignment vertical="center"/>
    </xf>
    <xf numFmtId="182" fontId="8" fillId="7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right" vertical="center"/>
    </xf>
    <xf numFmtId="182" fontId="8" fillId="7" borderId="1" xfId="0" applyNumberFormat="1" applyFont="1" applyFill="1" applyBorder="1" applyAlignment="1">
      <alignment horizontal="right" vertical="center"/>
    </xf>
    <xf numFmtId="182" fontId="8" fillId="8" borderId="83" xfId="0" applyNumberFormat="1" applyFont="1" applyFill="1" applyBorder="1" applyAlignment="1">
      <alignment horizontal="center" vertical="center"/>
    </xf>
    <xf numFmtId="182" fontId="8" fillId="8" borderId="86" xfId="0" applyNumberFormat="1" applyFont="1" applyFill="1" applyBorder="1" applyAlignment="1">
      <alignment horizontal="center" vertical="center"/>
    </xf>
    <xf numFmtId="182" fontId="8" fillId="8" borderId="88" xfId="0" applyNumberFormat="1" applyFont="1" applyFill="1" applyBorder="1" applyAlignment="1">
      <alignment horizontal="center" vertical="center"/>
    </xf>
    <xf numFmtId="179" fontId="8" fillId="0" borderId="90" xfId="0" applyNumberFormat="1" applyFont="1" applyFill="1" applyBorder="1" applyAlignment="1">
      <alignment horizontal="center" vertical="center"/>
    </xf>
    <xf numFmtId="179" fontId="8" fillId="0" borderId="53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179" fontId="8" fillId="0" borderId="9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8" fillId="3" borderId="7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>
      <alignment horizontal="left" vertical="center"/>
    </xf>
    <xf numFmtId="38" fontId="27" fillId="0" borderId="28" xfId="1" applyFont="1" applyBorder="1" applyAlignment="1">
      <alignment vertical="center" shrinkToFit="1"/>
    </xf>
    <xf numFmtId="0" fontId="0" fillId="0" borderId="28" xfId="0" applyBorder="1" applyAlignment="1" applyProtection="1">
      <alignment vertical="center"/>
      <protection locked="0"/>
    </xf>
    <xf numFmtId="180" fontId="0" fillId="0" borderId="10" xfId="0" applyNumberFormat="1" applyBorder="1" applyAlignment="1">
      <alignment horizontal="center" vertical="center"/>
    </xf>
    <xf numFmtId="38" fontId="27" fillId="0" borderId="10" xfId="1" applyFont="1" applyBorder="1" applyAlignment="1">
      <alignment vertical="center" shrinkToFit="1"/>
    </xf>
    <xf numFmtId="0" fontId="0" fillId="0" borderId="10" xfId="0" applyBorder="1" applyAlignment="1" applyProtection="1">
      <alignment vertical="center"/>
      <protection locked="0"/>
    </xf>
    <xf numFmtId="38" fontId="8" fillId="0" borderId="28" xfId="1" applyFont="1" applyBorder="1" applyAlignment="1">
      <alignment horizontal="right" vertical="center"/>
    </xf>
    <xf numFmtId="38" fontId="27" fillId="0" borderId="21" xfId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84" xfId="0" applyNumberFormat="1" applyFont="1" applyFill="1" applyBorder="1" applyAlignment="1">
      <alignment horizontal="center" vertical="center"/>
    </xf>
    <xf numFmtId="176" fontId="6" fillId="2" borderId="96" xfId="0" applyNumberFormat="1" applyFont="1" applyFill="1" applyBorder="1" applyAlignment="1">
      <alignment horizontal="center" vertical="center"/>
    </xf>
    <xf numFmtId="179" fontId="8" fillId="0" borderId="97" xfId="0" applyNumberFormat="1" applyFont="1" applyFill="1" applyBorder="1" applyAlignment="1">
      <alignment horizontal="left" vertical="center"/>
    </xf>
    <xf numFmtId="179" fontId="8" fillId="0" borderId="3" xfId="0" applyNumberFormat="1" applyFont="1" applyFill="1" applyBorder="1" applyAlignment="1">
      <alignment horizontal="left" vertical="center"/>
    </xf>
    <xf numFmtId="182" fontId="8" fillId="7" borderId="3" xfId="0" applyNumberFormat="1" applyFont="1" applyFill="1" applyBorder="1" applyAlignment="1">
      <alignment horizontal="center" vertical="center"/>
    </xf>
    <xf numFmtId="179" fontId="8" fillId="4" borderId="52" xfId="0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center" vertical="center" shrinkToFit="1"/>
      <protection locked="0"/>
    </xf>
    <xf numFmtId="179" fontId="8" fillId="4" borderId="9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/>
    </xf>
    <xf numFmtId="176" fontId="6" fillId="2" borderId="0" xfId="0" applyNumberFormat="1" applyFont="1" applyFill="1" applyBorder="1" applyAlignment="1">
      <alignment horizontal="center" vertical="center"/>
    </xf>
    <xf numFmtId="179" fontId="8" fillId="3" borderId="3" xfId="0" applyNumberFormat="1" applyFont="1" applyFill="1" applyBorder="1" applyAlignment="1" applyProtection="1">
      <alignment horizontal="center" vertical="center"/>
      <protection locked="0"/>
    </xf>
    <xf numFmtId="179" fontId="8" fillId="0" borderId="98" xfId="0" applyNumberFormat="1" applyFont="1" applyFill="1" applyBorder="1" applyAlignment="1">
      <alignment horizontal="center" vertical="center"/>
    </xf>
    <xf numFmtId="179" fontId="8" fillId="0" borderId="99" xfId="0" applyNumberFormat="1" applyFont="1" applyFill="1" applyBorder="1" applyAlignment="1">
      <alignment horizontal="center" vertical="center"/>
    </xf>
    <xf numFmtId="179" fontId="8" fillId="0" borderId="53" xfId="0" applyNumberFormat="1" applyFont="1" applyFill="1" applyBorder="1" applyAlignment="1">
      <alignment horizontal="left" vertical="center"/>
    </xf>
    <xf numFmtId="179" fontId="8" fillId="4" borderId="7" xfId="0" applyNumberFormat="1" applyFont="1" applyFill="1" applyBorder="1" applyAlignment="1" applyProtection="1">
      <alignment horizontal="center" vertical="center"/>
      <protection locked="0"/>
    </xf>
    <xf numFmtId="179" fontId="8" fillId="0" borderId="98" xfId="0" applyNumberFormat="1" applyFont="1" applyFill="1" applyBorder="1" applyAlignment="1">
      <alignment horizontal="left" vertical="center"/>
    </xf>
    <xf numFmtId="179" fontId="8" fillId="0" borderId="14" xfId="0" applyNumberFormat="1" applyFont="1" applyFill="1" applyBorder="1" applyAlignment="1">
      <alignment horizontal="left" vertical="center"/>
    </xf>
    <xf numFmtId="38" fontId="27" fillId="0" borderId="0" xfId="1" applyFont="1" applyBorder="1" applyAlignment="1">
      <alignment vertical="center" shrinkToFit="1"/>
    </xf>
    <xf numFmtId="178" fontId="5" fillId="0" borderId="31" xfId="0" applyNumberFormat="1" applyFont="1" applyBorder="1" applyAlignment="1">
      <alignment horizontal="left" vertical="center"/>
    </xf>
    <xf numFmtId="178" fontId="5" fillId="0" borderId="64" xfId="0" applyNumberFormat="1" applyFont="1" applyBorder="1" applyAlignment="1">
      <alignment vertical="center"/>
    </xf>
    <xf numFmtId="179" fontId="23" fillId="0" borderId="36" xfId="0" applyNumberFormat="1" applyFont="1" applyFill="1" applyBorder="1" applyAlignment="1">
      <alignment horizontal="left" vertical="center"/>
    </xf>
    <xf numFmtId="178" fontId="10" fillId="0" borderId="45" xfId="0" applyNumberFormat="1" applyFont="1" applyBorder="1">
      <alignment vertical="center"/>
    </xf>
    <xf numFmtId="179" fontId="19" fillId="0" borderId="33" xfId="0" applyNumberFormat="1" applyFont="1" applyFill="1" applyBorder="1" applyAlignment="1">
      <alignment horizontal="left" vertical="center"/>
    </xf>
    <xf numFmtId="179" fontId="22" fillId="0" borderId="33" xfId="0" applyNumberFormat="1" applyFont="1" applyFill="1" applyBorder="1" applyAlignment="1">
      <alignment horizontal="left" vertical="center"/>
    </xf>
    <xf numFmtId="182" fontId="3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82" fontId="24" fillId="0" borderId="33" xfId="0" applyNumberFormat="1" applyFont="1" applyFill="1" applyBorder="1" applyAlignment="1">
      <alignment horizontal="center" vertical="center"/>
    </xf>
    <xf numFmtId="0" fontId="23" fillId="0" borderId="36" xfId="0" applyFont="1" applyBorder="1">
      <alignment vertical="center"/>
    </xf>
    <xf numFmtId="178" fontId="5" fillId="0" borderId="64" xfId="0" applyNumberFormat="1" applyFont="1" applyBorder="1" applyAlignment="1">
      <alignment horizontal="left" vertical="center"/>
    </xf>
    <xf numFmtId="0" fontId="23" fillId="0" borderId="33" xfId="0" applyFont="1" applyBorder="1">
      <alignment vertical="center"/>
    </xf>
    <xf numFmtId="179" fontId="19" fillId="0" borderId="100" xfId="0" applyNumberFormat="1" applyFont="1" applyFill="1" applyBorder="1" applyAlignment="1">
      <alignment horizontal="left" vertical="center"/>
    </xf>
    <xf numFmtId="179" fontId="22" fillId="0" borderId="101" xfId="0" applyNumberFormat="1" applyFont="1" applyFill="1" applyBorder="1" applyAlignment="1">
      <alignment horizontal="left" vertical="center"/>
    </xf>
    <xf numFmtId="179" fontId="8" fillId="3" borderId="8" xfId="0" applyNumberFormat="1" applyFont="1" applyFill="1" applyBorder="1" applyAlignment="1" applyProtection="1">
      <alignment horizontal="center" vertical="center"/>
      <protection locked="0"/>
    </xf>
    <xf numFmtId="179" fontId="8" fillId="3" borderId="21" xfId="0" applyNumberFormat="1" applyFont="1" applyFill="1" applyBorder="1" applyAlignment="1" applyProtection="1">
      <alignment horizontal="center" vertical="center"/>
      <protection locked="0"/>
    </xf>
    <xf numFmtId="179" fontId="8" fillId="0" borderId="102" xfId="0" applyNumberFormat="1" applyFont="1" applyFill="1" applyBorder="1" applyAlignment="1">
      <alignment horizontal="center" vertical="center"/>
    </xf>
    <xf numFmtId="179" fontId="8" fillId="3" borderId="103" xfId="0" applyNumberFormat="1" applyFont="1" applyFill="1" applyBorder="1" applyAlignment="1" applyProtection="1">
      <alignment horizontal="center" vertical="center"/>
      <protection locked="0"/>
    </xf>
    <xf numFmtId="179" fontId="8" fillId="0" borderId="105" xfId="0" applyNumberFormat="1" applyFont="1" applyFill="1" applyBorder="1" applyAlignment="1">
      <alignment horizontal="center" vertical="center"/>
    </xf>
    <xf numFmtId="179" fontId="8" fillId="0" borderId="107" xfId="0" applyNumberFormat="1" applyFont="1" applyFill="1" applyBorder="1" applyAlignment="1">
      <alignment horizontal="center" vertical="center"/>
    </xf>
    <xf numFmtId="179" fontId="8" fillId="3" borderId="108" xfId="0" applyNumberFormat="1" applyFont="1" applyFill="1" applyBorder="1" applyAlignment="1" applyProtection="1">
      <alignment horizontal="center" vertical="center"/>
      <protection locked="0"/>
    </xf>
    <xf numFmtId="179" fontId="8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2" fontId="8" fillId="0" borderId="0" xfId="0" applyNumberFormat="1" applyFont="1" applyFill="1" applyBorder="1" applyAlignment="1">
      <alignment horizontal="center" vertical="center"/>
    </xf>
    <xf numFmtId="179" fontId="8" fillId="0" borderId="114" xfId="0" applyNumberFormat="1" applyFont="1" applyFill="1" applyBorder="1" applyAlignment="1">
      <alignment horizontal="left" vertical="center"/>
    </xf>
    <xf numFmtId="179" fontId="8" fillId="3" borderId="115" xfId="0" applyNumberFormat="1" applyFont="1" applyFill="1" applyBorder="1" applyAlignment="1" applyProtection="1">
      <alignment horizontal="center" vertical="center"/>
      <protection locked="0"/>
    </xf>
    <xf numFmtId="179" fontId="8" fillId="0" borderId="119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left" vertical="center"/>
    </xf>
    <xf numFmtId="179" fontId="8" fillId="3" borderId="2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>
      <alignment horizontal="left" vertical="center"/>
    </xf>
    <xf numFmtId="179" fontId="8" fillId="0" borderId="21" xfId="0" applyNumberFormat="1" applyFont="1" applyFill="1" applyBorder="1" applyAlignment="1">
      <alignment horizontal="left" vertical="center"/>
    </xf>
    <xf numFmtId="179" fontId="8" fillId="0" borderId="102" xfId="0" applyNumberFormat="1" applyFont="1" applyFill="1" applyBorder="1" applyAlignment="1">
      <alignment horizontal="left" vertical="center"/>
    </xf>
    <xf numFmtId="179" fontId="8" fillId="0" borderId="105" xfId="0" applyNumberFormat="1" applyFont="1" applyFill="1" applyBorder="1" applyAlignment="1">
      <alignment horizontal="left" vertical="center"/>
    </xf>
    <xf numFmtId="179" fontId="8" fillId="0" borderId="107" xfId="0" applyNumberFormat="1" applyFont="1" applyFill="1" applyBorder="1" applyAlignment="1">
      <alignment horizontal="left" vertical="center"/>
    </xf>
    <xf numFmtId="179" fontId="8" fillId="0" borderId="13" xfId="0" applyNumberFormat="1" applyFont="1" applyFill="1" applyBorder="1" applyAlignment="1">
      <alignment horizontal="left" vertical="center"/>
    </xf>
    <xf numFmtId="179" fontId="8" fillId="0" borderId="120" xfId="0" applyNumberFormat="1" applyFont="1" applyFill="1" applyBorder="1" applyAlignment="1">
      <alignment horizontal="left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79" fontId="8" fillId="0" borderId="12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/>
    </xf>
    <xf numFmtId="179" fontId="8" fillId="0" borderId="97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114" xfId="0" applyNumberFormat="1" applyFont="1" applyFill="1" applyBorder="1" applyAlignment="1">
      <alignment horizontal="center" vertical="center"/>
    </xf>
    <xf numFmtId="179" fontId="8" fillId="0" borderId="122" xfId="0" applyNumberFormat="1" applyFont="1" applyFill="1" applyBorder="1" applyAlignment="1">
      <alignment horizontal="center" vertical="center"/>
    </xf>
    <xf numFmtId="179" fontId="8" fillId="0" borderId="123" xfId="0" applyNumberFormat="1" applyFont="1" applyFill="1" applyBorder="1" applyAlignment="1">
      <alignment horizontal="center" vertical="center"/>
    </xf>
    <xf numFmtId="0" fontId="3" fillId="0" borderId="31" xfId="0" applyFont="1" applyBorder="1">
      <alignment vertical="center"/>
    </xf>
    <xf numFmtId="38" fontId="8" fillId="0" borderId="41" xfId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center" vertical="center"/>
    </xf>
    <xf numFmtId="38" fontId="8" fillId="0" borderId="41" xfId="1" applyFont="1" applyBorder="1" applyAlignment="1" applyProtection="1">
      <alignment horizontal="right" vertical="center"/>
      <protection locked="0"/>
    </xf>
    <xf numFmtId="0" fontId="2" fillId="0" borderId="41" xfId="0" applyFont="1" applyBorder="1">
      <alignment vertical="center"/>
    </xf>
    <xf numFmtId="0" fontId="2" fillId="0" borderId="41" xfId="0" applyFont="1" applyBorder="1" applyAlignment="1">
      <alignment horizontal="right" vertical="center"/>
    </xf>
    <xf numFmtId="177" fontId="8" fillId="0" borderId="41" xfId="0" applyNumberFormat="1" applyFont="1" applyBorder="1" applyAlignment="1">
      <alignment horizontal="left" vertical="center"/>
    </xf>
    <xf numFmtId="38" fontId="8" fillId="0" borderId="41" xfId="1" applyFont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9" fontId="8" fillId="3" borderId="118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177" fontId="8" fillId="0" borderId="125" xfId="0" applyNumberFormat="1" applyFont="1" applyFill="1" applyBorder="1" applyAlignment="1">
      <alignment horizontal="left" vertical="center"/>
    </xf>
    <xf numFmtId="0" fontId="2" fillId="0" borderId="125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9" fontId="8" fillId="9" borderId="102" xfId="0" applyNumberFormat="1" applyFont="1" applyFill="1" applyBorder="1" applyAlignment="1">
      <alignment horizontal="center" vertical="center"/>
    </xf>
    <xf numFmtId="179" fontId="8" fillId="9" borderId="105" xfId="0" applyNumberFormat="1" applyFont="1" applyFill="1" applyBorder="1" applyAlignment="1">
      <alignment horizontal="center" vertical="center"/>
    </xf>
    <xf numFmtId="179" fontId="8" fillId="9" borderId="119" xfId="0" applyNumberFormat="1" applyFont="1" applyFill="1" applyBorder="1" applyAlignment="1">
      <alignment horizontal="center" vertical="center"/>
    </xf>
    <xf numFmtId="179" fontId="8" fillId="9" borderId="14" xfId="0" applyNumberFormat="1" applyFont="1" applyFill="1" applyBorder="1" applyAlignment="1">
      <alignment horizontal="center" vertical="center"/>
    </xf>
    <xf numFmtId="179" fontId="8" fillId="9" borderId="16" xfId="0" applyNumberFormat="1" applyFont="1" applyFill="1" applyBorder="1" applyAlignment="1">
      <alignment horizontal="center" vertical="center"/>
    </xf>
    <xf numFmtId="179" fontId="8" fillId="9" borderId="69" xfId="0" applyNumberFormat="1" applyFont="1" applyFill="1" applyBorder="1" applyAlignment="1">
      <alignment horizontal="center" vertical="center"/>
    </xf>
    <xf numFmtId="179" fontId="8" fillId="10" borderId="102" xfId="0" applyNumberFormat="1" applyFont="1" applyFill="1" applyBorder="1" applyAlignment="1">
      <alignment horizontal="center" vertical="center"/>
    </xf>
    <xf numFmtId="179" fontId="8" fillId="10" borderId="93" xfId="0" applyNumberFormat="1" applyFont="1" applyFill="1" applyBorder="1" applyAlignment="1">
      <alignment horizontal="center" vertical="center"/>
    </xf>
    <xf numFmtId="179" fontId="8" fillId="10" borderId="16" xfId="0" applyNumberFormat="1" applyFont="1" applyFill="1" applyBorder="1" applyAlignment="1">
      <alignment horizontal="center" vertical="center"/>
    </xf>
    <xf numFmtId="179" fontId="8" fillId="10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>
      <alignment vertical="center"/>
    </xf>
    <xf numFmtId="0" fontId="27" fillId="0" borderId="0" xfId="0" applyFont="1">
      <alignment vertical="center"/>
    </xf>
    <xf numFmtId="179" fontId="8" fillId="0" borderId="119" xfId="0" applyNumberFormat="1" applyFont="1" applyFill="1" applyBorder="1" applyAlignment="1">
      <alignment horizontal="left" vertical="center"/>
    </xf>
    <xf numFmtId="179" fontId="8" fillId="0" borderId="93" xfId="0" applyNumberFormat="1" applyFont="1" applyFill="1" applyBorder="1" applyAlignment="1">
      <alignment horizontal="left" vertical="center"/>
    </xf>
    <xf numFmtId="180" fontId="0" fillId="0" borderId="11" xfId="0" applyNumberFormat="1" applyBorder="1" applyAlignment="1">
      <alignment horizontal="center" vertical="center"/>
    </xf>
    <xf numFmtId="38" fontId="27" fillId="0" borderId="8" xfId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177" fontId="8" fillId="0" borderId="10" xfId="0" applyNumberFormat="1" applyFont="1" applyFill="1" applyBorder="1" applyAlignment="1">
      <alignment horizontal="left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Border="1">
      <alignment vertical="center"/>
    </xf>
    <xf numFmtId="38" fontId="2" fillId="0" borderId="24" xfId="1" applyFont="1" applyBorder="1" applyAlignment="1">
      <alignment horizontal="right" vertical="center"/>
    </xf>
    <xf numFmtId="0" fontId="14" fillId="0" borderId="40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0" fillId="0" borderId="8" xfId="0" applyBorder="1" applyAlignment="1">
      <alignment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179" fontId="8" fillId="3" borderId="63" xfId="0" applyNumberFormat="1" applyFont="1" applyFill="1" applyBorder="1" applyAlignment="1" applyProtection="1">
      <alignment horizontal="center" vertical="center"/>
      <protection locked="0"/>
    </xf>
    <xf numFmtId="38" fontId="23" fillId="0" borderId="0" xfId="1" applyFont="1" applyFill="1" applyBorder="1" applyAlignment="1" applyProtection="1">
      <alignment horizontal="right" vertical="center" shrinkToFit="1"/>
      <protection locked="0"/>
    </xf>
    <xf numFmtId="38" fontId="8" fillId="0" borderId="0" xfId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vertical="center"/>
    </xf>
    <xf numFmtId="0" fontId="23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179" fontId="8" fillId="0" borderId="129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center" vertical="center"/>
    </xf>
    <xf numFmtId="179" fontId="2" fillId="6" borderId="1" xfId="0" applyNumberFormat="1" applyFont="1" applyFill="1" applyBorder="1">
      <alignment vertical="center"/>
    </xf>
    <xf numFmtId="179" fontId="8" fillId="0" borderId="132" xfId="0" applyNumberFormat="1" applyFont="1" applyFill="1" applyBorder="1" applyAlignment="1">
      <alignment horizontal="left" vertical="center"/>
    </xf>
    <xf numFmtId="38" fontId="8" fillId="0" borderId="132" xfId="1" applyFont="1" applyBorder="1" applyAlignment="1" applyProtection="1">
      <alignment horizontal="right" vertical="center" shrinkToFit="1"/>
      <protection locked="0"/>
    </xf>
    <xf numFmtId="179" fontId="8" fillId="0" borderId="62" xfId="0" applyNumberFormat="1" applyFont="1" applyFill="1" applyBorder="1" applyAlignment="1">
      <alignment horizontal="left" vertical="center"/>
    </xf>
    <xf numFmtId="38" fontId="8" fillId="0" borderId="62" xfId="1" applyFont="1" applyBorder="1" applyAlignment="1" applyProtection="1">
      <alignment horizontal="right" vertical="center" shrinkToFit="1"/>
      <protection locked="0"/>
    </xf>
    <xf numFmtId="179" fontId="8" fillId="4" borderId="4" xfId="0" applyNumberFormat="1" applyFont="1" applyFill="1" applyBorder="1" applyAlignment="1" applyProtection="1">
      <alignment horizontal="center" vertical="center"/>
      <protection locked="0"/>
    </xf>
    <xf numFmtId="179" fontId="8" fillId="0" borderId="93" xfId="0" applyNumberFormat="1" applyFont="1" applyFill="1" applyBorder="1" applyAlignment="1">
      <alignment horizontal="center" vertical="center"/>
    </xf>
    <xf numFmtId="179" fontId="8" fillId="0" borderId="129" xfId="0" applyNumberFormat="1" applyFont="1" applyFill="1" applyBorder="1" applyAlignment="1">
      <alignment horizontal="center" vertical="center"/>
    </xf>
    <xf numFmtId="179" fontId="8" fillId="0" borderId="135" xfId="0" applyNumberFormat="1" applyFont="1" applyFill="1" applyBorder="1" applyAlignment="1">
      <alignment horizontal="center" vertical="center"/>
    </xf>
    <xf numFmtId="179" fontId="8" fillId="0" borderId="137" xfId="0" applyNumberFormat="1" applyFont="1" applyFill="1" applyBorder="1" applyAlignment="1">
      <alignment horizontal="center" vertical="center"/>
    </xf>
    <xf numFmtId="38" fontId="8" fillId="0" borderId="140" xfId="1" applyFont="1" applyBorder="1" applyAlignment="1">
      <alignment horizontal="right" vertical="center"/>
    </xf>
    <xf numFmtId="178" fontId="4" fillId="0" borderId="0" xfId="0" applyNumberFormat="1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182" fontId="8" fillId="0" borderId="0" xfId="0" applyNumberFormat="1" applyFont="1" applyFill="1" applyBorder="1" applyAlignment="1">
      <alignment horizontal="center" vertical="center"/>
    </xf>
    <xf numFmtId="0" fontId="2" fillId="0" borderId="23" xfId="0" applyFont="1" applyBorder="1" applyProtection="1">
      <alignment vertical="center"/>
      <protection locked="0"/>
    </xf>
    <xf numFmtId="178" fontId="8" fillId="0" borderId="0" xfId="0" applyNumberFormat="1" applyFont="1" applyFill="1" applyBorder="1" applyAlignment="1">
      <alignment horizontal="left" vertical="center"/>
    </xf>
    <xf numFmtId="179" fontId="8" fillId="0" borderId="122" xfId="0" applyNumberFormat="1" applyFont="1" applyFill="1" applyBorder="1" applyAlignment="1">
      <alignment horizontal="left" vertical="center"/>
    </xf>
    <xf numFmtId="179" fontId="8" fillId="0" borderId="99" xfId="0" applyNumberFormat="1" applyFont="1" applyFill="1" applyBorder="1" applyAlignment="1">
      <alignment horizontal="left" vertical="center"/>
    </xf>
    <xf numFmtId="179" fontId="8" fillId="0" borderId="141" xfId="0" applyNumberFormat="1" applyFont="1" applyFill="1" applyBorder="1" applyAlignment="1">
      <alignment horizontal="left" vertical="center"/>
    </xf>
    <xf numFmtId="179" fontId="8" fillId="0" borderId="29" xfId="0" applyNumberFormat="1" applyFont="1" applyFill="1" applyBorder="1" applyAlignment="1">
      <alignment horizontal="left" vertical="center"/>
    </xf>
    <xf numFmtId="179" fontId="8" fillId="0" borderId="142" xfId="0" applyNumberFormat="1" applyFont="1" applyFill="1" applyBorder="1" applyAlignment="1">
      <alignment horizontal="left" vertical="center"/>
    </xf>
    <xf numFmtId="38" fontId="8" fillId="0" borderId="28" xfId="1" applyFont="1" applyBorder="1" applyAlignment="1" applyProtection="1">
      <alignment horizontal="right" vertical="center" shrinkToFit="1"/>
      <protection locked="0"/>
    </xf>
    <xf numFmtId="179" fontId="8" fillId="0" borderId="143" xfId="0" applyNumberFormat="1" applyFont="1" applyFill="1" applyBorder="1" applyAlignment="1">
      <alignment horizontal="left" vertical="center"/>
    </xf>
    <xf numFmtId="179" fontId="8" fillId="0" borderId="28" xfId="0" applyNumberFormat="1" applyFont="1" applyFill="1" applyBorder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8" fillId="0" borderId="142" xfId="0" applyNumberFormat="1" applyFont="1" applyFill="1" applyBorder="1" applyAlignment="1">
      <alignment horizontal="center" vertical="center"/>
    </xf>
    <xf numFmtId="179" fontId="8" fillId="0" borderId="143" xfId="0" applyNumberFormat="1" applyFont="1" applyFill="1" applyBorder="1" applyAlignment="1">
      <alignment horizontal="center" vertical="center"/>
    </xf>
    <xf numFmtId="179" fontId="8" fillId="0" borderId="144" xfId="0" applyNumberFormat="1" applyFont="1" applyFill="1" applyBorder="1" applyAlignment="1">
      <alignment horizontal="center" vertical="center"/>
    </xf>
    <xf numFmtId="179" fontId="8" fillId="0" borderId="43" xfId="0" applyNumberFormat="1" applyFont="1" applyFill="1" applyBorder="1" applyAlignment="1" applyProtection="1">
      <alignment horizontal="center" vertical="center"/>
      <protection locked="0"/>
    </xf>
    <xf numFmtId="179" fontId="8" fillId="0" borderId="144" xfId="0" applyNumberFormat="1" applyFont="1" applyFill="1" applyBorder="1" applyAlignment="1">
      <alignment horizontal="left" vertical="center"/>
    </xf>
    <xf numFmtId="179" fontId="8" fillId="0" borderId="145" xfId="0" applyNumberFormat="1" applyFont="1" applyFill="1" applyBorder="1" applyAlignment="1">
      <alignment horizontal="left" vertical="center"/>
    </xf>
    <xf numFmtId="178" fontId="8" fillId="6" borderId="145" xfId="0" applyNumberFormat="1" applyFont="1" applyFill="1" applyBorder="1" applyAlignment="1" applyProtection="1">
      <alignment horizontal="center" vertical="center"/>
      <protection locked="0"/>
    </xf>
    <xf numFmtId="38" fontId="8" fillId="0" borderId="145" xfId="1" applyFont="1" applyBorder="1" applyAlignment="1" applyProtection="1">
      <alignment horizontal="right" vertical="center" shrinkToFit="1"/>
      <protection locked="0"/>
    </xf>
    <xf numFmtId="178" fontId="8" fillId="0" borderId="1" xfId="0" applyNumberFormat="1" applyFont="1" applyFill="1" applyBorder="1" applyAlignment="1" applyProtection="1">
      <alignment horizontal="center" vertical="center"/>
      <protection locked="0"/>
    </xf>
    <xf numFmtId="178" fontId="8" fillId="0" borderId="146" xfId="0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Border="1" applyAlignment="1" applyProtection="1">
      <alignment horizontal="right" vertical="center" shrinkToFit="1"/>
      <protection locked="0"/>
    </xf>
    <xf numFmtId="179" fontId="2" fillId="0" borderId="6" xfId="0" applyNumberFormat="1" applyFont="1" applyFill="1" applyBorder="1">
      <alignment vertical="center"/>
    </xf>
    <xf numFmtId="38" fontId="8" fillId="2" borderId="146" xfId="1" applyFont="1" applyFill="1" applyBorder="1" applyAlignment="1" applyProtection="1">
      <alignment horizontal="right" vertical="center" shrinkToFit="1"/>
      <protection locked="0"/>
    </xf>
    <xf numFmtId="38" fontId="8" fillId="2" borderId="0" xfId="1" applyFont="1" applyFill="1" applyBorder="1" applyAlignment="1" applyProtection="1">
      <alignment horizontal="right" vertical="center" shrinkToFit="1"/>
      <protection locked="0"/>
    </xf>
    <xf numFmtId="179" fontId="8" fillId="2" borderId="144" xfId="0" applyNumberFormat="1" applyFont="1" applyFill="1" applyBorder="1" applyAlignment="1">
      <alignment horizontal="center" vertical="center"/>
    </xf>
    <xf numFmtId="179" fontId="8" fillId="2" borderId="43" xfId="0" applyNumberFormat="1" applyFont="1" applyFill="1" applyBorder="1" applyAlignment="1" applyProtection="1">
      <alignment horizontal="center" vertical="center"/>
      <protection locked="0"/>
    </xf>
    <xf numFmtId="38" fontId="8" fillId="2" borderId="43" xfId="1" applyFont="1" applyFill="1" applyBorder="1" applyAlignment="1" applyProtection="1">
      <alignment horizontal="right" vertical="center" shrinkToFit="1"/>
      <protection locked="0"/>
    </xf>
    <xf numFmtId="179" fontId="8" fillId="2" borderId="143" xfId="0" applyNumberFormat="1" applyFont="1" applyFill="1" applyBorder="1" applyAlignment="1">
      <alignment horizontal="center" vertical="center"/>
    </xf>
    <xf numFmtId="179" fontId="8" fillId="2" borderId="28" xfId="0" applyNumberFormat="1" applyFont="1" applyFill="1" applyBorder="1" applyAlignment="1" applyProtection="1">
      <alignment horizontal="center" vertical="center"/>
      <protection locked="0"/>
    </xf>
    <xf numFmtId="38" fontId="8" fillId="0" borderId="142" xfId="1" applyFont="1" applyBorder="1" applyAlignment="1" applyProtection="1">
      <alignment horizontal="right" vertical="center" shrinkToFit="1"/>
      <protection locked="0"/>
    </xf>
    <xf numFmtId="38" fontId="8" fillId="0" borderId="143" xfId="1" applyFont="1" applyBorder="1" applyAlignment="1" applyProtection="1">
      <alignment horizontal="right" vertical="center" shrinkToFit="1"/>
      <protection locked="0"/>
    </xf>
    <xf numFmtId="179" fontId="8" fillId="2" borderId="142" xfId="0" applyNumberFormat="1" applyFont="1" applyFill="1" applyBorder="1" applyAlignment="1">
      <alignment horizontal="center" vertical="center"/>
    </xf>
    <xf numFmtId="38" fontId="8" fillId="2" borderId="28" xfId="1" applyFont="1" applyFill="1" applyBorder="1" applyAlignment="1" applyProtection="1">
      <alignment horizontal="right" vertical="center" shrinkToFit="1"/>
      <protection locked="0"/>
    </xf>
    <xf numFmtId="179" fontId="8" fillId="4" borderId="8" xfId="0" applyNumberFormat="1" applyFont="1" applyFill="1" applyBorder="1" applyAlignment="1" applyProtection="1">
      <alignment horizontal="center" vertical="center"/>
      <protection locked="0"/>
    </xf>
    <xf numFmtId="179" fontId="8" fillId="4" borderId="13" xfId="0" applyNumberFormat="1" applyFont="1" applyFill="1" applyBorder="1" applyAlignment="1" applyProtection="1">
      <alignment horizontal="center" vertical="center"/>
      <protection locked="0"/>
    </xf>
    <xf numFmtId="179" fontId="8" fillId="3" borderId="130" xfId="0" applyNumberFormat="1" applyFont="1" applyFill="1" applyBorder="1" applyAlignment="1" applyProtection="1">
      <alignment horizontal="center" vertical="center"/>
      <protection locked="0"/>
    </xf>
    <xf numFmtId="179" fontId="8" fillId="3" borderId="43" xfId="0" applyNumberFormat="1" applyFont="1" applyFill="1" applyBorder="1" applyAlignment="1" applyProtection="1">
      <alignment horizontal="center" vertical="center"/>
      <protection locked="0"/>
    </xf>
    <xf numFmtId="179" fontId="8" fillId="3" borderId="52" xfId="0" applyNumberFormat="1" applyFont="1" applyFill="1" applyBorder="1" applyAlignment="1" applyProtection="1">
      <alignment horizontal="center" vertical="center"/>
      <protection locked="0"/>
    </xf>
    <xf numFmtId="179" fontId="8" fillId="3" borderId="95" xfId="0" applyNumberFormat="1" applyFont="1" applyFill="1" applyBorder="1" applyAlignment="1" applyProtection="1">
      <alignment horizontal="center" vertical="center"/>
      <protection locked="0"/>
    </xf>
    <xf numFmtId="179" fontId="8" fillId="3" borderId="133" xfId="0" applyNumberFormat="1" applyFont="1" applyFill="1" applyBorder="1" applyAlignment="1" applyProtection="1">
      <alignment horizontal="center" vertical="center"/>
      <protection locked="0"/>
    </xf>
    <xf numFmtId="179" fontId="8" fillId="4" borderId="92" xfId="0" applyNumberFormat="1" applyFont="1" applyFill="1" applyBorder="1" applyAlignment="1" applyProtection="1">
      <alignment horizontal="center" vertical="center"/>
      <protection locked="0"/>
    </xf>
    <xf numFmtId="179" fontId="8" fillId="4" borderId="82" xfId="0" applyNumberFormat="1" applyFont="1" applyFill="1" applyBorder="1" applyAlignment="1" applyProtection="1">
      <alignment horizontal="center" vertical="center"/>
      <protection locked="0"/>
    </xf>
    <xf numFmtId="179" fontId="8" fillId="4" borderId="80" xfId="0" applyNumberFormat="1" applyFont="1" applyFill="1" applyBorder="1" applyAlignment="1" applyProtection="1">
      <alignment horizontal="center" vertical="center"/>
      <protection locked="0"/>
    </xf>
    <xf numFmtId="179" fontId="8" fillId="4" borderId="75" xfId="0" applyNumberFormat="1" applyFont="1" applyFill="1" applyBorder="1" applyAlignment="1" applyProtection="1">
      <alignment horizontal="center" vertical="center"/>
      <protection locked="0"/>
    </xf>
    <xf numFmtId="179" fontId="8" fillId="3" borderId="101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>
      <alignment horizontal="center" vertical="center"/>
    </xf>
    <xf numFmtId="178" fontId="5" fillId="0" borderId="57" xfId="0" applyNumberFormat="1" applyFont="1" applyBorder="1" applyAlignment="1">
      <alignment horizontal="left" vertical="center"/>
    </xf>
    <xf numFmtId="177" fontId="19" fillId="0" borderId="0" xfId="0" applyNumberFormat="1" applyFont="1" applyBorder="1" applyAlignment="1">
      <alignment horizontal="left" vertical="center"/>
    </xf>
    <xf numFmtId="178" fontId="8" fillId="2" borderId="1" xfId="0" applyNumberFormat="1" applyFont="1" applyFill="1" applyBorder="1" applyAlignment="1" applyProtection="1">
      <alignment horizontal="center" vertical="center"/>
      <protection locked="0"/>
    </xf>
    <xf numFmtId="179" fontId="8" fillId="4" borderId="21" xfId="0" applyNumberFormat="1" applyFont="1" applyFill="1" applyBorder="1" applyAlignment="1" applyProtection="1">
      <alignment horizontal="center" vertical="center"/>
      <protection locked="0"/>
    </xf>
    <xf numFmtId="179" fontId="8" fillId="3" borderId="62" xfId="0" applyNumberFormat="1" applyFont="1" applyFill="1" applyBorder="1" applyAlignment="1" applyProtection="1">
      <alignment horizontal="center" vertical="center"/>
      <protection locked="0"/>
    </xf>
    <xf numFmtId="0" fontId="33" fillId="0" borderId="28" xfId="0" applyFont="1" applyBorder="1">
      <alignment vertical="center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38" fontId="8" fillId="0" borderId="110" xfId="1" applyFont="1" applyBorder="1" applyAlignment="1" applyProtection="1">
      <alignment horizontal="right" vertical="center" shrinkToFit="1"/>
      <protection locked="0"/>
    </xf>
    <xf numFmtId="38" fontId="8" fillId="0" borderId="111" xfId="1" applyFont="1" applyBorder="1" applyAlignment="1" applyProtection="1">
      <alignment horizontal="right" vertical="center" shrinkToFit="1"/>
      <protection locked="0"/>
    </xf>
    <xf numFmtId="38" fontId="8" fillId="0" borderId="9" xfId="1" applyFont="1" applyBorder="1" applyAlignment="1" applyProtection="1">
      <alignment horizontal="right" vertical="center" shrinkToFit="1"/>
      <protection locked="0"/>
    </xf>
    <xf numFmtId="38" fontId="8" fillId="0" borderId="8" xfId="1" applyFont="1" applyBorder="1" applyAlignment="1" applyProtection="1">
      <alignment horizontal="right" vertical="center" shrinkToFit="1"/>
      <protection locked="0"/>
    </xf>
    <xf numFmtId="38" fontId="8" fillId="0" borderId="21" xfId="1" applyFont="1" applyBorder="1" applyAlignment="1" applyProtection="1">
      <alignment horizontal="right" vertical="center" shrinkToFit="1"/>
      <protection locked="0"/>
    </xf>
    <xf numFmtId="38" fontId="8" fillId="0" borderId="104" xfId="1" applyFont="1" applyBorder="1" applyAlignment="1" applyProtection="1">
      <alignment horizontal="right" vertical="center" shrinkToFit="1"/>
      <protection locked="0"/>
    </xf>
    <xf numFmtId="38" fontId="8" fillId="0" borderId="106" xfId="1" applyFont="1" applyBorder="1" applyAlignment="1" applyProtection="1">
      <alignment horizontal="right" vertical="center" shrinkToFit="1"/>
      <protection locked="0"/>
    </xf>
    <xf numFmtId="38" fontId="8" fillId="0" borderId="126" xfId="1" applyFont="1" applyBorder="1" applyAlignment="1" applyProtection="1">
      <alignment horizontal="right" vertical="center" shrinkToFit="1"/>
      <protection locked="0"/>
    </xf>
    <xf numFmtId="38" fontId="8" fillId="0" borderId="109" xfId="1" applyFont="1" applyBorder="1" applyAlignment="1" applyProtection="1">
      <alignment horizontal="right" vertical="center" shrinkToFit="1"/>
      <protection locked="0"/>
    </xf>
    <xf numFmtId="38" fontId="8" fillId="0" borderId="131" xfId="1" applyFont="1" applyBorder="1" applyAlignment="1" applyProtection="1">
      <alignment horizontal="right" vertical="center" shrinkToFit="1"/>
      <protection locked="0"/>
    </xf>
    <xf numFmtId="38" fontId="8" fillId="0" borderId="94" xfId="1" applyFont="1" applyBorder="1" applyAlignment="1" applyProtection="1">
      <alignment horizontal="right" vertical="center" shrinkToFit="1"/>
      <protection locked="0"/>
    </xf>
    <xf numFmtId="38" fontId="8" fillId="0" borderId="17" xfId="1" applyFont="1" applyBorder="1" applyAlignment="1" applyProtection="1">
      <alignment horizontal="right" vertical="center" shrinkToFit="1"/>
      <protection locked="0"/>
    </xf>
    <xf numFmtId="38" fontId="8" fillId="0" borderId="70" xfId="1" applyFont="1" applyBorder="1" applyAlignment="1" applyProtection="1">
      <alignment horizontal="right" vertical="center" shrinkToFit="1"/>
      <protection locked="0"/>
    </xf>
    <xf numFmtId="38" fontId="8" fillId="0" borderId="72" xfId="1" applyFont="1" applyBorder="1" applyAlignment="1" applyProtection="1">
      <alignment horizontal="right" vertical="center" shrinkToFit="1"/>
      <protection locked="0"/>
    </xf>
    <xf numFmtId="38" fontId="8" fillId="0" borderId="121" xfId="1" applyFont="1" applyBorder="1" applyAlignment="1" applyProtection="1">
      <alignment horizontal="right" vertical="center" shrinkToFit="1"/>
      <protection locked="0"/>
    </xf>
    <xf numFmtId="38" fontId="8" fillId="0" borderId="13" xfId="1" applyFont="1" applyBorder="1" applyAlignment="1" applyProtection="1">
      <alignment horizontal="right" vertical="center" shrinkToFit="1"/>
      <protection locked="0"/>
    </xf>
    <xf numFmtId="38" fontId="8" fillId="0" borderId="112" xfId="1" applyFont="1" applyBorder="1" applyAlignment="1" applyProtection="1">
      <alignment horizontal="right" vertical="center" shrinkToFit="1"/>
      <protection locked="0"/>
    </xf>
    <xf numFmtId="38" fontId="8" fillId="0" borderId="80" xfId="1" applyFont="1" applyBorder="1" applyAlignment="1" applyProtection="1">
      <alignment horizontal="right" vertical="center" shrinkToFit="1"/>
      <protection locked="0"/>
    </xf>
    <xf numFmtId="38" fontId="8" fillId="0" borderId="113" xfId="1" applyFont="1" applyBorder="1" applyAlignment="1" applyProtection="1">
      <alignment horizontal="right" vertical="center" shrinkToFit="1"/>
      <protection locked="0"/>
    </xf>
    <xf numFmtId="38" fontId="8" fillId="0" borderId="6" xfId="1" applyFont="1" applyBorder="1" applyAlignment="1" applyProtection="1">
      <alignment horizontal="right" vertical="center" shrinkToFit="1"/>
      <protection locked="0"/>
    </xf>
    <xf numFmtId="38" fontId="8" fillId="0" borderId="15" xfId="1" applyFont="1" applyBorder="1" applyAlignment="1" applyProtection="1">
      <alignment horizontal="right" vertical="center" shrinkToFit="1"/>
      <protection locked="0"/>
    </xf>
    <xf numFmtId="38" fontId="8" fillId="0" borderId="74" xfId="1" applyFont="1" applyBorder="1" applyAlignment="1" applyProtection="1">
      <alignment horizontal="right" vertical="center" shrinkToFit="1"/>
      <protection locked="0"/>
    </xf>
    <xf numFmtId="38" fontId="8" fillId="0" borderId="116" xfId="1" applyFont="1" applyBorder="1" applyAlignment="1" applyProtection="1">
      <alignment horizontal="right" vertical="center" shrinkToFit="1"/>
      <protection locked="0"/>
    </xf>
    <xf numFmtId="38" fontId="23" fillId="0" borderId="42" xfId="1" applyFont="1" applyFill="1" applyBorder="1" applyAlignment="1" applyProtection="1">
      <alignment horizontal="right" vertical="center" shrinkToFit="1"/>
      <protection locked="0"/>
    </xf>
    <xf numFmtId="178" fontId="8" fillId="0" borderId="8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 shrinkToFit="1"/>
    </xf>
    <xf numFmtId="38" fontId="6" fillId="0" borderId="8" xfId="1" applyFont="1" applyFill="1" applyBorder="1" applyAlignment="1">
      <alignment horizontal="right" vertical="center" shrinkToFit="1"/>
    </xf>
    <xf numFmtId="178" fontId="8" fillId="0" borderId="13" xfId="0" applyNumberFormat="1" applyFont="1" applyFill="1" applyBorder="1" applyAlignment="1">
      <alignment horizontal="right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>
      <alignment vertical="center"/>
    </xf>
    <xf numFmtId="181" fontId="34" fillId="0" borderId="0" xfId="0" applyNumberFormat="1" applyFont="1" applyFill="1" applyAlignment="1">
      <alignment horizontal="center" vertical="center"/>
    </xf>
    <xf numFmtId="0" fontId="35" fillId="0" borderId="0" xfId="0" applyFont="1" applyFill="1">
      <alignment vertical="center"/>
    </xf>
    <xf numFmtId="181" fontId="34" fillId="0" borderId="0" xfId="0" applyNumberFormat="1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0" fontId="36" fillId="0" borderId="0" xfId="0" applyFont="1">
      <alignment vertical="center"/>
    </xf>
    <xf numFmtId="178" fontId="36" fillId="2" borderId="0" xfId="0" applyNumberFormat="1" applyFont="1" applyFill="1">
      <alignment vertical="center"/>
    </xf>
    <xf numFmtId="176" fontId="36" fillId="2" borderId="0" xfId="0" applyNumberFormat="1" applyFont="1" applyFill="1" applyAlignment="1">
      <alignment horizontal="center" vertical="center"/>
    </xf>
    <xf numFmtId="0" fontId="36" fillId="2" borderId="0" xfId="0" applyFont="1" applyFill="1">
      <alignment vertical="center"/>
    </xf>
    <xf numFmtId="180" fontId="34" fillId="0" borderId="0" xfId="0" applyNumberFormat="1" applyFont="1" applyBorder="1" applyAlignment="1">
      <alignment horizontal="center" vertical="center"/>
    </xf>
    <xf numFmtId="0" fontId="35" fillId="0" borderId="0" xfId="0" applyFont="1">
      <alignment vertical="center"/>
    </xf>
    <xf numFmtId="178" fontId="34" fillId="0" borderId="0" xfId="0" applyNumberFormat="1" applyFont="1">
      <alignment vertical="center"/>
    </xf>
    <xf numFmtId="178" fontId="35" fillId="0" borderId="0" xfId="0" applyNumberFormat="1" applyFont="1" applyBorder="1" applyAlignment="1">
      <alignment horizontal="left" vertical="center"/>
    </xf>
    <xf numFmtId="177" fontId="35" fillId="0" borderId="0" xfId="0" applyNumberFormat="1" applyFont="1" applyBorder="1" applyAlignment="1">
      <alignment horizontal="left" vertical="center"/>
    </xf>
    <xf numFmtId="181" fontId="34" fillId="0" borderId="0" xfId="0" applyNumberFormat="1" applyFont="1" applyBorder="1" applyAlignment="1">
      <alignment horizontal="center" vertical="center"/>
    </xf>
    <xf numFmtId="38" fontId="35" fillId="0" borderId="0" xfId="1" applyFont="1" applyAlignment="1">
      <alignment horizontal="left" vertical="center"/>
    </xf>
    <xf numFmtId="177" fontId="35" fillId="0" borderId="0" xfId="0" applyNumberFormat="1" applyFont="1" applyFill="1" applyAlignment="1">
      <alignment horizontal="left" vertical="center"/>
    </xf>
    <xf numFmtId="38" fontId="34" fillId="0" borderId="0" xfId="0" applyNumberFormat="1" applyFont="1">
      <alignment vertical="center"/>
    </xf>
    <xf numFmtId="0" fontId="34" fillId="0" borderId="0" xfId="0" applyFont="1" applyBorder="1" applyAlignment="1">
      <alignment horizontal="center" vertical="center"/>
    </xf>
    <xf numFmtId="177" fontId="35" fillId="0" borderId="0" xfId="0" applyNumberFormat="1" applyFont="1" applyFill="1" applyBorder="1" applyAlignment="1">
      <alignment horizontal="left" vertical="center"/>
    </xf>
    <xf numFmtId="181" fontId="34" fillId="0" borderId="0" xfId="0" applyNumberFormat="1" applyFont="1" applyFill="1" applyBorder="1" applyAlignment="1">
      <alignment horizontal="center" vertical="center"/>
    </xf>
    <xf numFmtId="177" fontId="35" fillId="0" borderId="0" xfId="0" applyNumberFormat="1" applyFont="1" applyAlignment="1">
      <alignment horizontal="left" vertical="center"/>
    </xf>
    <xf numFmtId="14" fontId="34" fillId="0" borderId="0" xfId="0" applyNumberFormat="1" applyFont="1" applyAlignment="1">
      <alignment horizontal="center" vertical="center"/>
    </xf>
    <xf numFmtId="38" fontId="6" fillId="0" borderId="29" xfId="1" applyFont="1" applyFill="1" applyBorder="1" applyAlignment="1">
      <alignment horizontal="right" vertical="center" shrinkToFit="1"/>
    </xf>
    <xf numFmtId="180" fontId="34" fillId="0" borderId="0" xfId="0" applyNumberFormat="1" applyFont="1" applyAlignment="1">
      <alignment horizontal="center" vertical="center"/>
    </xf>
    <xf numFmtId="38" fontId="23" fillId="0" borderId="8" xfId="1" applyFont="1" applyBorder="1" applyAlignment="1" applyProtection="1">
      <alignment horizontal="right" vertical="center" shrinkToFit="1"/>
      <protection locked="0"/>
    </xf>
    <xf numFmtId="38" fontId="6" fillId="0" borderId="8" xfId="1" applyFont="1" applyBorder="1" applyAlignment="1">
      <alignment horizontal="right" vertical="center" shrinkToFit="1"/>
    </xf>
    <xf numFmtId="178" fontId="8" fillId="0" borderId="50" xfId="0" applyNumberFormat="1" applyFont="1" applyFill="1" applyBorder="1" applyAlignment="1">
      <alignment horizontal="right" vertical="center"/>
    </xf>
    <xf numFmtId="38" fontId="35" fillId="0" borderId="0" xfId="0" applyNumberFormat="1" applyFont="1">
      <alignment vertical="center"/>
    </xf>
    <xf numFmtId="0" fontId="35" fillId="0" borderId="0" xfId="0" applyFont="1" applyAlignment="1">
      <alignment horizontal="center" vertical="center"/>
    </xf>
    <xf numFmtId="38" fontId="8" fillId="0" borderId="54" xfId="1" applyFont="1" applyBorder="1" applyAlignment="1" applyProtection="1">
      <alignment horizontal="right" vertical="center" shrinkToFit="1"/>
      <protection locked="0"/>
    </xf>
    <xf numFmtId="38" fontId="8" fillId="0" borderId="91" xfId="1" applyFont="1" applyBorder="1" applyAlignment="1" applyProtection="1">
      <alignment horizontal="right" vertical="center" shrinkToFit="1"/>
      <protection locked="0"/>
    </xf>
    <xf numFmtId="38" fontId="8" fillId="0" borderId="56" xfId="1" applyFont="1" applyBorder="1" applyAlignment="1" applyProtection="1">
      <alignment horizontal="right" vertical="center" shrinkToFit="1"/>
      <protection locked="0"/>
    </xf>
    <xf numFmtId="38" fontId="8" fillId="0" borderId="127" xfId="1" applyFont="1" applyBorder="1" applyAlignment="1" applyProtection="1">
      <alignment horizontal="right" vertical="center" shrinkToFit="1"/>
      <protection locked="0"/>
    </xf>
    <xf numFmtId="38" fontId="8" fillId="0" borderId="134" xfId="1" applyFont="1" applyBorder="1" applyAlignment="1" applyProtection="1">
      <alignment horizontal="right" vertical="center" shrinkToFit="1"/>
      <protection locked="0"/>
    </xf>
    <xf numFmtId="38" fontId="8" fillId="0" borderId="136" xfId="1" applyFont="1" applyBorder="1" applyAlignment="1" applyProtection="1">
      <alignment horizontal="right" vertical="center" shrinkToFit="1"/>
      <protection locked="0"/>
    </xf>
    <xf numFmtId="38" fontId="8" fillId="0" borderId="139" xfId="1" applyFont="1" applyBorder="1" applyAlignment="1" applyProtection="1">
      <alignment horizontal="right" vertical="center" shrinkToFit="1"/>
      <protection locked="0"/>
    </xf>
    <xf numFmtId="38" fontId="8" fillId="0" borderId="128" xfId="1" applyFont="1" applyBorder="1" applyAlignment="1" applyProtection="1">
      <alignment horizontal="right" vertical="center" shrinkToFit="1"/>
      <protection locked="0"/>
    </xf>
    <xf numFmtId="38" fontId="8" fillId="0" borderId="8" xfId="1" applyFont="1" applyBorder="1" applyAlignment="1">
      <alignment horizontal="right" vertical="center" shrinkToFit="1"/>
    </xf>
    <xf numFmtId="179" fontId="8" fillId="4" borderId="52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2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43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95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63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92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82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62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32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4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3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47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48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30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01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2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43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52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95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38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4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179" fontId="8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182" fontId="24" fillId="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82" fontId="24" fillId="3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6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182" fontId="3" fillId="6" borderId="58" xfId="0" applyNumberFormat="1" applyFont="1" applyFill="1" applyBorder="1" applyAlignment="1">
      <alignment horizontal="center" vertical="center"/>
    </xf>
    <xf numFmtId="182" fontId="3" fillId="6" borderId="4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182" fontId="24" fillId="3" borderId="10" xfId="0" applyNumberFormat="1" applyFont="1" applyFill="1" applyBorder="1" applyAlignment="1">
      <alignment horizontal="center" vertical="center"/>
    </xf>
    <xf numFmtId="182" fontId="24" fillId="3" borderId="11" xfId="0" applyNumberFormat="1" applyFont="1" applyFill="1" applyBorder="1" applyAlignment="1">
      <alignment horizontal="center" vertical="center"/>
    </xf>
    <xf numFmtId="182" fontId="3" fillId="6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8" borderId="9" xfId="0" applyFont="1" applyFill="1" applyBorder="1" applyAlignment="1" applyProtection="1">
      <alignment vertical="center"/>
      <protection locked="0"/>
    </xf>
    <xf numFmtId="0" fontId="14" fillId="8" borderId="10" xfId="0" applyFont="1" applyFill="1" applyBorder="1" applyAlignment="1" applyProtection="1">
      <alignment vertical="center"/>
      <protection locked="0"/>
    </xf>
    <xf numFmtId="0" fontId="14" fillId="8" borderId="11" xfId="0" applyFont="1" applyFill="1" applyBorder="1" applyAlignment="1" applyProtection="1">
      <alignment vertical="center"/>
      <protection locked="0"/>
    </xf>
    <xf numFmtId="176" fontId="6" fillId="7" borderId="51" xfId="0" applyNumberFormat="1" applyFont="1" applyFill="1" applyBorder="1" applyAlignment="1">
      <alignment horizontal="center" vertical="center"/>
    </xf>
    <xf numFmtId="176" fontId="6" fillId="7" borderId="52" xfId="0" applyNumberFormat="1" applyFont="1" applyFill="1" applyBorder="1" applyAlignment="1">
      <alignment horizontal="center" vertical="center"/>
    </xf>
    <xf numFmtId="176" fontId="6" fillId="7" borderId="4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82" fontId="3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7" borderId="61" xfId="0" applyNumberFormat="1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center" vertical="center"/>
    </xf>
    <xf numFmtId="178" fontId="5" fillId="0" borderId="57" xfId="0" applyNumberFormat="1" applyFont="1" applyBorder="1" applyAlignment="1">
      <alignment horizontal="left" vertical="center"/>
    </xf>
    <xf numFmtId="0" fontId="14" fillId="8" borderId="8" xfId="0" applyFont="1" applyFill="1" applyBorder="1" applyAlignment="1" applyProtection="1">
      <alignment vertical="center"/>
      <protection locked="0"/>
    </xf>
    <xf numFmtId="0" fontId="14" fillId="8" borderId="8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182" fontId="8" fillId="6" borderId="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8" borderId="0" xfId="0" applyFont="1" applyFill="1" applyBorder="1" applyAlignment="1" applyProtection="1">
      <alignment vertical="center" wrapText="1"/>
      <protection locked="0"/>
    </xf>
    <xf numFmtId="0" fontId="14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176" fontId="6" fillId="7" borderId="117" xfId="0" applyNumberFormat="1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182" fontId="8" fillId="3" borderId="8" xfId="0" applyNumberFormat="1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5" fillId="0" borderId="13" xfId="0" applyFont="1" applyBorder="1" applyAlignment="1">
      <alignment vertical="center"/>
    </xf>
    <xf numFmtId="38" fontId="8" fillId="0" borderId="7" xfId="1" applyFont="1" applyBorder="1" applyAlignment="1" applyProtection="1">
      <alignment horizontal="right" vertical="center" shrinkToFit="1"/>
      <protection locked="0"/>
    </xf>
    <xf numFmtId="38" fontId="8" fillId="0" borderId="82" xfId="1" applyFont="1" applyBorder="1" applyAlignment="1" applyProtection="1">
      <alignment horizontal="right" vertical="center" shrinkToFit="1"/>
      <protection locked="0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176" fontId="6" fillId="7" borderId="75" xfId="0" applyNumberFormat="1" applyFont="1" applyFill="1" applyBorder="1" applyAlignment="1">
      <alignment horizontal="center" vertical="center"/>
    </xf>
    <xf numFmtId="176" fontId="6" fillId="7" borderId="78" xfId="0" applyNumberFormat="1" applyFont="1" applyFill="1" applyBorder="1" applyAlignment="1">
      <alignment horizontal="center" vertical="center"/>
    </xf>
    <xf numFmtId="176" fontId="6" fillId="7" borderId="76" xfId="0" applyNumberFormat="1" applyFont="1" applyFill="1" applyBorder="1" applyAlignment="1">
      <alignment horizontal="center" vertical="center"/>
    </xf>
    <xf numFmtId="176" fontId="6" fillId="7" borderId="77" xfId="0" applyNumberFormat="1" applyFont="1" applyFill="1" applyBorder="1" applyAlignment="1">
      <alignment horizontal="center" vertical="center"/>
    </xf>
    <xf numFmtId="38" fontId="8" fillId="0" borderId="85" xfId="1" applyFont="1" applyBorder="1" applyAlignment="1" applyProtection="1">
      <alignment horizontal="center" vertical="center" shrinkToFit="1"/>
      <protection locked="0"/>
    </xf>
    <xf numFmtId="38" fontId="8" fillId="0" borderId="87" xfId="1" applyFont="1" applyBorder="1" applyAlignment="1" applyProtection="1">
      <alignment horizontal="center" vertical="center" shrinkToFit="1"/>
      <protection locked="0"/>
    </xf>
    <xf numFmtId="38" fontId="8" fillId="0" borderId="89" xfId="1" applyFont="1" applyBorder="1" applyAlignment="1" applyProtection="1">
      <alignment horizontal="center" vertical="center" shrinkToFit="1"/>
      <protection locked="0"/>
    </xf>
    <xf numFmtId="0" fontId="32" fillId="8" borderId="22" xfId="0" applyFont="1" applyFill="1" applyBorder="1" applyAlignment="1" applyProtection="1">
      <alignment vertical="center"/>
      <protection locked="0"/>
    </xf>
    <xf numFmtId="0" fontId="32" fillId="8" borderId="28" xfId="0" applyFont="1" applyFill="1" applyBorder="1" applyAlignment="1" applyProtection="1">
      <alignment vertical="center"/>
      <protection locked="0"/>
    </xf>
    <xf numFmtId="0" fontId="32" fillId="8" borderId="26" xfId="0" applyFont="1" applyFill="1" applyBorder="1" applyAlignment="1" applyProtection="1">
      <alignment vertical="center"/>
      <protection locked="0"/>
    </xf>
    <xf numFmtId="0" fontId="32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182" fontId="8" fillId="2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183" fontId="8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0" fillId="8" borderId="8" xfId="0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247"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66FFFF"/>
      <color rgb="FF000000"/>
      <color rgb="FF00CCFF"/>
      <color rgb="FF66FF99"/>
      <color rgb="FF66FF66"/>
      <color rgb="FFF97A6D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29883</xdr:colOff>
      <xdr:row>2</xdr:row>
      <xdr:rowOff>59766</xdr:rowOff>
    </xdr:from>
    <xdr:to>
      <xdr:col>15</xdr:col>
      <xdr:colOff>67235</xdr:colOff>
      <xdr:row>63</xdr:row>
      <xdr:rowOff>121478</xdr:rowOff>
    </xdr:to>
    <xdr:sp macro="" textlink="">
      <xdr:nvSpPr>
        <xdr:cNvPr id="2" name="テキスト ボックス 1"/>
        <xdr:cNvSpPr txBox="1"/>
      </xdr:nvSpPr>
      <xdr:spPr>
        <a:xfrm>
          <a:off x="151361" y="567766"/>
          <a:ext cx="7900309" cy="11176973"/>
        </a:xfrm>
        <a:prstGeom prst="rect">
          <a:avLst/>
        </a:prstGeom>
        <a:solidFill>
          <a:schemeClr val="lt1"/>
        </a:solidFill>
        <a:ln w="34925" cmpd="sng">
          <a:solidFill>
            <a:srgbClr val="F97A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>
    <xdr:from>
      <xdr:col>1</xdr:col>
      <xdr:colOff>52295</xdr:colOff>
      <xdr:row>2</xdr:row>
      <xdr:rowOff>85584</xdr:rowOff>
    </xdr:from>
    <xdr:to>
      <xdr:col>15</xdr:col>
      <xdr:colOff>29883</xdr:colOff>
      <xdr:row>9</xdr:row>
      <xdr:rowOff>91108</xdr:rowOff>
    </xdr:to>
    <xdr:sp macro="" textlink="">
      <xdr:nvSpPr>
        <xdr:cNvPr id="3" name="テキスト ボックス 2"/>
        <xdr:cNvSpPr txBox="1"/>
      </xdr:nvSpPr>
      <xdr:spPr>
        <a:xfrm>
          <a:off x="176534" y="632236"/>
          <a:ext cx="7920610" cy="1736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●「香川県営業時間短縮協力金（第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９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次）申請方法フローチャート」または</a:t>
          </a:r>
          <a:endParaRPr lang="ja-JP" altLang="ja-JP" sz="1400">
            <a:effectLst/>
            <a:latin typeface="+mn-ea"/>
            <a:ea typeface="+mn-ea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「香川県営業時間短縮協力金申請書（第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９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の別紙２」を参考にしていただき、</a:t>
          </a:r>
          <a:endParaRPr lang="ja-JP" altLang="ja-JP" sz="1400">
            <a:effectLst/>
            <a:latin typeface="+mn-ea"/>
            <a:ea typeface="+mn-ea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　売上高の計算方法を選択してください。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●下記を参考にしていただき、使用する売上高計算シートを選択してください。</a:t>
          </a:r>
        </a:p>
        <a:p>
          <a:pPr marL="0" indent="0"/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売上高計算シートの結果を基に、「香川県営業時間短縮協力金申請書（第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９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の別紙２」以降に数値を記載してください。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27934</xdr:colOff>
      <xdr:row>45</xdr:row>
      <xdr:rowOff>108488</xdr:rowOff>
    </xdr:from>
    <xdr:to>
      <xdr:col>15</xdr:col>
      <xdr:colOff>71782</xdr:colOff>
      <xdr:row>64</xdr:row>
      <xdr:rowOff>38652</xdr:rowOff>
    </xdr:to>
    <xdr:sp macro="" textlink="">
      <xdr:nvSpPr>
        <xdr:cNvPr id="4" name="テキスト ボックス 3"/>
        <xdr:cNvSpPr txBox="1"/>
      </xdr:nvSpPr>
      <xdr:spPr>
        <a:xfrm>
          <a:off x="149412" y="8628531"/>
          <a:ext cx="7906805" cy="3204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●売上高計算シートに、売上高（消費税を抜いた金額）を入力してください。</a:t>
          </a: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店休日の場合、「休」の欄には〇を記載してください。</a:t>
          </a: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なお、売上高は、日々の売上高の入力を省略し、各月計のみ入力することも可能です。</a:t>
          </a: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等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の要請の対象となる飲食業のみを行っている場合は、店舗ごとに、その</a:t>
          </a: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売上高を飲食業売上高として計算します。</a:t>
          </a: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等の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要請の対象とならない事業（テイクアウト、物品販売等）も行っている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場合は、原則として、それらの事業を除外して飲食業売上高を計算します。</a:t>
          </a: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●月単位方式、時短要請期間方式のいずれの場合も、飲食業売上高を参照する期間に</a:t>
          </a: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休業日（定休日や不定休による店休日）があった場合には、その日数を除いて１日当たり</a:t>
          </a: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の飲食業売上高を計算します。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●通常の営業時間が午後９時を超えている「認証店」が、１日でも営業時間を午後９時まで、酒類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提供を午後８時までとした場合には、全期間その営業時間短縮等の内容を選択した場合の協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力金（売上高方式の場合２．５万円～７．５万円）をお支払いすることになります。</a:t>
          </a:r>
          <a:endParaRPr kumimoji="1" lang="ja-JP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1949</xdr:colOff>
      <xdr:row>21</xdr:row>
      <xdr:rowOff>21034</xdr:rowOff>
    </xdr:from>
    <xdr:to>
      <xdr:col>14</xdr:col>
      <xdr:colOff>787856</xdr:colOff>
      <xdr:row>28</xdr:row>
      <xdr:rowOff>105701</xdr:rowOff>
    </xdr:to>
    <xdr:grpSp>
      <xdr:nvGrpSpPr>
        <xdr:cNvPr id="5" name="グループ化 4"/>
        <xdr:cNvGrpSpPr/>
      </xdr:nvGrpSpPr>
      <xdr:grpSpPr>
        <a:xfrm>
          <a:off x="123427" y="4432904"/>
          <a:ext cx="7842690" cy="1282884"/>
          <a:chOff x="126127" y="4540719"/>
          <a:chExt cx="7928730" cy="1242249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126127" y="4540719"/>
            <a:ext cx="7928730" cy="11505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600">
              <a:effectLst/>
              <a:latin typeface="+mn-ea"/>
              <a:ea typeface="+mn-ea"/>
            </a:endParaRPr>
          </a:p>
          <a:p>
            <a:r>
              <a:rPr kumimoji="1" lang="ja-JP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計算例：中小企業の場合、売上高計算シート①の１日当たり売上高が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７万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5,000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円（認証店で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9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時　</a:t>
            </a:r>
            <a:endPara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　　 までの時短の場合８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万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3,333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）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を超えない場合、協力金の額は１日当たり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３万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（認証</a:t>
            </a:r>
            <a:endPara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　　</a:t>
            </a:r>
            <a:r>
              <a:rPr kumimoji="1" lang="ja-JP" altLang="en-US" sz="1400" baseline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店で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9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時までの時短の場合２万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5,000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円）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になります</a:t>
            </a:r>
            <a:r>
              <a:rPr kumimoji="1"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ja-JP" altLang="ja-JP" sz="1050">
              <a:effectLst/>
            </a:endParaRPr>
          </a:p>
          <a:p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487386" y="5536688"/>
            <a:ext cx="3748997" cy="24628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14400" rIns="36000" bIns="14400" rtlCol="0" anchor="t">
            <a:spAutoFit/>
          </a:bodyPr>
          <a:lstStyle/>
          <a:p>
            <a:r>
              <a:rPr kumimoji="1" lang="ja-JP" altLang="en-US" sz="1050" b="1">
                <a:latin typeface="游ゴシック" panose="020B0400000000000000" pitchFamily="50" charset="-128"/>
                <a:ea typeface="游ゴシック" panose="020B0400000000000000" pitchFamily="50" charset="-128"/>
              </a:rPr>
              <a:t>香川県営業時間短縮協力金申請書（第９次）本申請の</a:t>
            </a:r>
            <a:r>
              <a:rPr kumimoji="1" lang="ja-JP" altLang="en-US" sz="1050" b="1" u="none">
                <a:latin typeface="游ゴシック" panose="020B0400000000000000" pitchFamily="50" charset="-128"/>
                <a:ea typeface="游ゴシック" panose="020B0400000000000000" pitchFamily="50" charset="-128"/>
              </a:rPr>
              <a:t>別紙２</a:t>
            </a:r>
          </a:p>
        </xdr:txBody>
      </xdr:sp>
    </xdr:grpSp>
    <xdr:clientData/>
  </xdr:twoCellAnchor>
  <xdr:twoCellAnchor>
    <xdr:from>
      <xdr:col>9</xdr:col>
      <xdr:colOff>60103</xdr:colOff>
      <xdr:row>37</xdr:row>
      <xdr:rowOff>55219</xdr:rowOff>
    </xdr:from>
    <xdr:to>
      <xdr:col>11</xdr:col>
      <xdr:colOff>601232</xdr:colOff>
      <xdr:row>37</xdr:row>
      <xdr:rowOff>62544</xdr:rowOff>
    </xdr:to>
    <xdr:cxnSp macro="">
      <xdr:nvCxnSpPr>
        <xdr:cNvPr id="17" name="直線コネクタ 16"/>
        <xdr:cNvCxnSpPr/>
      </xdr:nvCxnSpPr>
      <xdr:spPr>
        <a:xfrm flipV="1">
          <a:off x="4433320" y="7205871"/>
          <a:ext cx="1540564" cy="73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96982</xdr:colOff>
      <xdr:row>37</xdr:row>
      <xdr:rowOff>70385</xdr:rowOff>
    </xdr:from>
    <xdr:to>
      <xdr:col>14</xdr:col>
      <xdr:colOff>656237</xdr:colOff>
      <xdr:row>37</xdr:row>
      <xdr:rowOff>71782</xdr:rowOff>
    </xdr:to>
    <xdr:cxnSp macro="">
      <xdr:nvCxnSpPr>
        <xdr:cNvPr id="18" name="直線コネクタ 17"/>
        <xdr:cNvCxnSpPr/>
      </xdr:nvCxnSpPr>
      <xdr:spPr>
        <a:xfrm>
          <a:off x="6275808" y="7221037"/>
          <a:ext cx="1558690" cy="139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65624</xdr:colOff>
      <xdr:row>45</xdr:row>
      <xdr:rowOff>57192</xdr:rowOff>
    </xdr:from>
    <xdr:to>
      <xdr:col>11</xdr:col>
      <xdr:colOff>608952</xdr:colOff>
      <xdr:row>45</xdr:row>
      <xdr:rowOff>64031</xdr:rowOff>
    </xdr:to>
    <xdr:cxnSp macro="">
      <xdr:nvCxnSpPr>
        <xdr:cNvPr id="19" name="直線コネクタ 18"/>
        <xdr:cNvCxnSpPr/>
      </xdr:nvCxnSpPr>
      <xdr:spPr>
        <a:xfrm flipV="1">
          <a:off x="4438841" y="8577235"/>
          <a:ext cx="1542763" cy="683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103481</xdr:colOff>
      <xdr:row>45</xdr:row>
      <xdr:rowOff>62226</xdr:rowOff>
    </xdr:from>
    <xdr:to>
      <xdr:col>14</xdr:col>
      <xdr:colOff>654432</xdr:colOff>
      <xdr:row>45</xdr:row>
      <xdr:rowOff>64948</xdr:rowOff>
    </xdr:to>
    <xdr:cxnSp macro="">
      <xdr:nvCxnSpPr>
        <xdr:cNvPr id="20" name="直線コネクタ 19"/>
        <xdr:cNvCxnSpPr/>
      </xdr:nvCxnSpPr>
      <xdr:spPr>
        <a:xfrm flipV="1">
          <a:off x="6282307" y="8582269"/>
          <a:ext cx="1550386" cy="272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183172</xdr:colOff>
      <xdr:row>28</xdr:row>
      <xdr:rowOff>165442</xdr:rowOff>
    </xdr:from>
    <xdr:to>
      <xdr:col>4</xdr:col>
      <xdr:colOff>464144</xdr:colOff>
      <xdr:row>30</xdr:row>
      <xdr:rowOff>34727</xdr:rowOff>
    </xdr:to>
    <xdr:sp macro="" textlink="">
      <xdr:nvSpPr>
        <xdr:cNvPr id="26" name="テキスト ボックス 25"/>
        <xdr:cNvSpPr txBox="1"/>
      </xdr:nvSpPr>
      <xdr:spPr>
        <a:xfrm>
          <a:off x="404042" y="5775529"/>
          <a:ext cx="1280406" cy="211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売上高方式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 editAs="oneCell">
    <xdr:from>
      <xdr:col>8</xdr:col>
      <xdr:colOff>425173</xdr:colOff>
      <xdr:row>29</xdr:row>
      <xdr:rowOff>55217</xdr:rowOff>
    </xdr:from>
    <xdr:to>
      <xdr:col>14</xdr:col>
      <xdr:colOff>784087</xdr:colOff>
      <xdr:row>46</xdr:row>
      <xdr:rowOff>5522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260" y="5836478"/>
          <a:ext cx="3705088" cy="2860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568740</xdr:colOff>
      <xdr:row>33</xdr:row>
      <xdr:rowOff>82825</xdr:rowOff>
    </xdr:from>
    <xdr:to>
      <xdr:col>14</xdr:col>
      <xdr:colOff>51527</xdr:colOff>
      <xdr:row>36</xdr:row>
      <xdr:rowOff>132989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1392" y="6548782"/>
          <a:ext cx="1288396" cy="563685"/>
        </a:xfrm>
        <a:prstGeom prst="rect">
          <a:avLst/>
        </a:prstGeom>
      </xdr:spPr>
    </xdr:pic>
    <xdr:clientData/>
  </xdr:twoCellAnchor>
  <xdr:twoCellAnchor editAs="oneCell">
    <xdr:from>
      <xdr:col>2</xdr:col>
      <xdr:colOff>171174</xdr:colOff>
      <xdr:row>30</xdr:row>
      <xdr:rowOff>60739</xdr:rowOff>
    </xdr:from>
    <xdr:to>
      <xdr:col>8</xdr:col>
      <xdr:colOff>204304</xdr:colOff>
      <xdr:row>45</xdr:row>
      <xdr:rowOff>128934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044" y="6013174"/>
          <a:ext cx="3644347" cy="2635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299208</xdr:colOff>
      <xdr:row>41</xdr:row>
      <xdr:rowOff>74884</xdr:rowOff>
    </xdr:from>
    <xdr:to>
      <xdr:col>6</xdr:col>
      <xdr:colOff>280869</xdr:colOff>
      <xdr:row>41</xdr:row>
      <xdr:rowOff>75563</xdr:rowOff>
    </xdr:to>
    <xdr:cxnSp macro="">
      <xdr:nvCxnSpPr>
        <xdr:cNvPr id="25" name="直線コネクタ 24"/>
        <xdr:cNvCxnSpPr/>
      </xdr:nvCxnSpPr>
      <xdr:spPr>
        <a:xfrm flipV="1">
          <a:off x="2325686" y="7910232"/>
          <a:ext cx="671879" cy="67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569025</xdr:colOff>
      <xdr:row>34</xdr:row>
      <xdr:rowOff>141613</xdr:rowOff>
    </xdr:from>
    <xdr:to>
      <xdr:col>5</xdr:col>
      <xdr:colOff>616514</xdr:colOff>
      <xdr:row>34</xdr:row>
      <xdr:rowOff>142257</xdr:rowOff>
    </xdr:to>
    <xdr:cxnSp macro="">
      <xdr:nvCxnSpPr>
        <xdr:cNvPr id="27" name="直線コネクタ 26"/>
        <xdr:cNvCxnSpPr/>
      </xdr:nvCxnSpPr>
      <xdr:spPr>
        <a:xfrm>
          <a:off x="1789329" y="6778743"/>
          <a:ext cx="853663" cy="64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40259</xdr:colOff>
      <xdr:row>35</xdr:row>
      <xdr:rowOff>63869</xdr:rowOff>
    </xdr:from>
    <xdr:to>
      <xdr:col>8</xdr:col>
      <xdr:colOff>464931</xdr:colOff>
      <xdr:row>36</xdr:row>
      <xdr:rowOff>124290</xdr:rowOff>
    </xdr:to>
    <xdr:sp macro="" textlink="">
      <xdr:nvSpPr>
        <xdr:cNvPr id="30" name="左矢印 29"/>
        <xdr:cNvSpPr/>
      </xdr:nvSpPr>
      <xdr:spPr>
        <a:xfrm rot="288056">
          <a:off x="2756955" y="6872173"/>
          <a:ext cx="1540063" cy="231595"/>
        </a:xfrm>
        <a:prstGeom prst="leftArrow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237435</xdr:colOff>
      <xdr:row>31</xdr:row>
      <xdr:rowOff>66261</xdr:rowOff>
    </xdr:from>
    <xdr:to>
      <xdr:col>4</xdr:col>
      <xdr:colOff>409395</xdr:colOff>
      <xdr:row>31</xdr:row>
      <xdr:rowOff>70367</xdr:rowOff>
    </xdr:to>
    <xdr:cxnSp macro="">
      <xdr:nvCxnSpPr>
        <xdr:cNvPr id="31" name="直線コネクタ 30"/>
        <xdr:cNvCxnSpPr/>
      </xdr:nvCxnSpPr>
      <xdr:spPr>
        <a:xfrm flipV="1">
          <a:off x="1148522" y="6189870"/>
          <a:ext cx="481177" cy="410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276032</xdr:colOff>
      <xdr:row>41</xdr:row>
      <xdr:rowOff>77038</xdr:rowOff>
    </xdr:from>
    <xdr:to>
      <xdr:col>8</xdr:col>
      <xdr:colOff>137044</xdr:colOff>
      <xdr:row>41</xdr:row>
      <xdr:rowOff>77717</xdr:rowOff>
    </xdr:to>
    <xdr:cxnSp macro="">
      <xdr:nvCxnSpPr>
        <xdr:cNvPr id="38" name="直線コネクタ 37"/>
        <xdr:cNvCxnSpPr/>
      </xdr:nvCxnSpPr>
      <xdr:spPr>
        <a:xfrm flipV="1">
          <a:off x="3301945" y="7912386"/>
          <a:ext cx="667186" cy="67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15461</xdr:colOff>
      <xdr:row>3</xdr:row>
      <xdr:rowOff>70125</xdr:rowOff>
    </xdr:from>
    <xdr:to>
      <xdr:col>9</xdr:col>
      <xdr:colOff>501375</xdr:colOff>
      <xdr:row>3</xdr:row>
      <xdr:rowOff>302038</xdr:rowOff>
    </xdr:to>
    <xdr:sp macro="" textlink="">
      <xdr:nvSpPr>
        <xdr:cNvPr id="8" name="正方形/長方形 7"/>
        <xdr:cNvSpPr/>
      </xdr:nvSpPr>
      <xdr:spPr>
        <a:xfrm>
          <a:off x="4568411" y="857525"/>
          <a:ext cx="485914" cy="2319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440749</xdr:colOff>
      <xdr:row>6</xdr:row>
      <xdr:rowOff>168133</xdr:rowOff>
    </xdr:from>
    <xdr:to>
      <xdr:col>3</xdr:col>
      <xdr:colOff>222250</xdr:colOff>
      <xdr:row>7</xdr:row>
      <xdr:rowOff>82550</xdr:rowOff>
    </xdr:to>
    <xdr:sp macro="" textlink="">
      <xdr:nvSpPr>
        <xdr:cNvPr id="32" name="正方形/長方形 31"/>
        <xdr:cNvSpPr/>
      </xdr:nvSpPr>
      <xdr:spPr>
        <a:xfrm>
          <a:off x="675699" y="1749283"/>
          <a:ext cx="499051" cy="2319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11043</xdr:colOff>
      <xdr:row>27</xdr:row>
      <xdr:rowOff>55217</xdr:rowOff>
    </xdr:from>
    <xdr:to>
      <xdr:col>12</xdr:col>
      <xdr:colOff>668131</xdr:colOff>
      <xdr:row>28</xdr:row>
      <xdr:rowOff>165652</xdr:rowOff>
    </xdr:to>
    <xdr:sp macro="" textlink="">
      <xdr:nvSpPr>
        <xdr:cNvPr id="33" name="テキスト ボックス 32"/>
        <xdr:cNvSpPr txBox="1"/>
      </xdr:nvSpPr>
      <xdr:spPr>
        <a:xfrm>
          <a:off x="5383695" y="5494130"/>
          <a:ext cx="1463262" cy="281609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14400" rIns="36000" bIns="14400" rtlCol="0" anchor="t">
          <a:noAutofit/>
        </a:bodyPr>
        <a:lstStyle/>
        <a:p>
          <a:r>
            <a:rPr kumimoji="1" lang="ja-JP" altLang="en-US" sz="1200" b="1" u="none">
              <a:latin typeface="游ゴシック" panose="020B0400000000000000" pitchFamily="50" charset="-128"/>
              <a:ea typeface="游ゴシック" panose="020B0400000000000000" pitchFamily="50" charset="-128"/>
            </a:rPr>
            <a:t>売上高計算シート①</a:t>
          </a:r>
          <a:endParaRPr kumimoji="1" lang="ja-JP" altLang="en-US" sz="1200" b="1" u="sng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570396</xdr:colOff>
      <xdr:row>27</xdr:row>
      <xdr:rowOff>65433</xdr:rowOff>
    </xdr:from>
    <xdr:to>
      <xdr:col>8</xdr:col>
      <xdr:colOff>139700</xdr:colOff>
      <xdr:row>28</xdr:row>
      <xdr:rowOff>57150</xdr:rowOff>
    </xdr:to>
    <xdr:sp macro="" textlink="">
      <xdr:nvSpPr>
        <xdr:cNvPr id="35" name="正方形/長方形 34"/>
        <xdr:cNvSpPr/>
      </xdr:nvSpPr>
      <xdr:spPr>
        <a:xfrm>
          <a:off x="3726346" y="5501033"/>
          <a:ext cx="407504" cy="16316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93869</xdr:colOff>
      <xdr:row>8</xdr:row>
      <xdr:rowOff>16564</xdr:rowOff>
    </xdr:from>
    <xdr:to>
      <xdr:col>14</xdr:col>
      <xdr:colOff>434022</xdr:colOff>
      <xdr:row>22</xdr:row>
      <xdr:rowOff>58950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739" y="2037521"/>
          <a:ext cx="7297544" cy="2604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4570</xdr:colOff>
      <xdr:row>0</xdr:row>
      <xdr:rowOff>25989</xdr:rowOff>
    </xdr:from>
    <xdr:to>
      <xdr:col>2</xdr:col>
      <xdr:colOff>729130</xdr:colOff>
      <xdr:row>1</xdr:row>
      <xdr:rowOff>33459</xdr:rowOff>
    </xdr:to>
    <xdr:sp macro="" textlink="">
      <xdr:nvSpPr>
        <xdr:cNvPr id="2" name="テキスト ボックス 21"/>
        <xdr:cNvSpPr txBox="1"/>
      </xdr:nvSpPr>
      <xdr:spPr>
        <a:xfrm>
          <a:off x="144270" y="25989"/>
          <a:ext cx="1213510" cy="286870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９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  <xdr:twoCellAnchor>
    <xdr:from>
      <xdr:col>17</xdr:col>
      <xdr:colOff>40798</xdr:colOff>
      <xdr:row>11</xdr:row>
      <xdr:rowOff>220201</xdr:rowOff>
    </xdr:from>
    <xdr:to>
      <xdr:col>17</xdr:col>
      <xdr:colOff>248480</xdr:colOff>
      <xdr:row>14</xdr:row>
      <xdr:rowOff>68280</xdr:rowOff>
    </xdr:to>
    <xdr:sp macro="" textlink="">
      <xdr:nvSpPr>
        <xdr:cNvPr id="3" name="四角形吹き出し 2"/>
        <xdr:cNvSpPr/>
      </xdr:nvSpPr>
      <xdr:spPr>
        <a:xfrm>
          <a:off x="9661048" y="2798301"/>
          <a:ext cx="207682" cy="527529"/>
        </a:xfrm>
        <a:prstGeom prst="wedgeRectCallout">
          <a:avLst>
            <a:gd name="adj1" fmla="val -64432"/>
            <a:gd name="adj2" fmla="val -430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360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直島町</a:t>
          </a:r>
        </a:p>
      </xdr:txBody>
    </xdr:sp>
    <xdr:clientData/>
  </xdr:twoCellAnchor>
  <xdr:twoCellAnchor>
    <xdr:from>
      <xdr:col>8</xdr:col>
      <xdr:colOff>47625</xdr:colOff>
      <xdr:row>11</xdr:row>
      <xdr:rowOff>240685</xdr:rowOff>
    </xdr:from>
    <xdr:to>
      <xdr:col>8</xdr:col>
      <xdr:colOff>267891</xdr:colOff>
      <xdr:row>14</xdr:row>
      <xdr:rowOff>88764</xdr:rowOff>
    </xdr:to>
    <xdr:sp macro="" textlink="">
      <xdr:nvSpPr>
        <xdr:cNvPr id="4" name="四角形吹き出し 3"/>
        <xdr:cNvSpPr/>
      </xdr:nvSpPr>
      <xdr:spPr>
        <a:xfrm>
          <a:off x="4714875" y="2818785"/>
          <a:ext cx="220266" cy="527529"/>
        </a:xfrm>
        <a:prstGeom prst="wedgeRectCallout">
          <a:avLst>
            <a:gd name="adj1" fmla="val -67006"/>
            <a:gd name="adj2" fmla="val -806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360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直島町</a:t>
          </a:r>
        </a:p>
      </xdr:txBody>
    </xdr:sp>
    <xdr:clientData/>
  </xdr:twoCellAnchor>
  <xdr:oneCellAnchor>
    <xdr:from>
      <xdr:col>1</xdr:col>
      <xdr:colOff>19318</xdr:colOff>
      <xdr:row>30</xdr:row>
      <xdr:rowOff>14174</xdr:rowOff>
    </xdr:from>
    <xdr:ext cx="421072" cy="760184"/>
    <xdr:sp macro="" textlink="">
      <xdr:nvSpPr>
        <xdr:cNvPr id="5" name="四角形吹き出し 4"/>
        <xdr:cNvSpPr/>
      </xdr:nvSpPr>
      <xdr:spPr>
        <a:xfrm>
          <a:off x="159018" y="6535624"/>
          <a:ext cx="421072" cy="760184"/>
        </a:xfrm>
        <a:prstGeom prst="wedgeRectCallout">
          <a:avLst>
            <a:gd name="adj1" fmla="val 59361"/>
            <a:gd name="adj2" fmla="val 422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rIns="18000" bIns="18000" rtlCol="0" anchor="t">
          <a:spAutoFit/>
        </a:bodyPr>
        <a:lstStyle/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まんのう町、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直島町 以外</a:t>
          </a:r>
        </a:p>
      </xdr:txBody>
    </xdr:sp>
    <xdr:clientData/>
  </xdr:oneCellAnchor>
  <xdr:twoCellAnchor>
    <xdr:from>
      <xdr:col>1</xdr:col>
      <xdr:colOff>121898</xdr:colOff>
      <xdr:row>35</xdr:row>
      <xdr:rowOff>10822</xdr:rowOff>
    </xdr:from>
    <xdr:to>
      <xdr:col>1</xdr:col>
      <xdr:colOff>428420</xdr:colOff>
      <xdr:row>38</xdr:row>
      <xdr:rowOff>10488</xdr:rowOff>
    </xdr:to>
    <xdr:sp macro="" textlink="">
      <xdr:nvSpPr>
        <xdr:cNvPr id="6" name="四角形吹き出し 5"/>
        <xdr:cNvSpPr/>
      </xdr:nvSpPr>
      <xdr:spPr>
        <a:xfrm>
          <a:off x="261598" y="7560972"/>
          <a:ext cx="306522" cy="621966"/>
        </a:xfrm>
        <a:prstGeom prst="wedgeRectCallout">
          <a:avLst>
            <a:gd name="adj1" fmla="val 70332"/>
            <a:gd name="adj2" fmla="val -1973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1800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まんのう町</a:t>
          </a:r>
        </a:p>
      </xdr:txBody>
    </xdr:sp>
    <xdr:clientData/>
  </xdr:twoCellAnchor>
  <xdr:oneCellAnchor>
    <xdr:from>
      <xdr:col>9</xdr:col>
      <xdr:colOff>45167</xdr:colOff>
      <xdr:row>30</xdr:row>
      <xdr:rowOff>9922</xdr:rowOff>
    </xdr:from>
    <xdr:ext cx="421072" cy="760184"/>
    <xdr:sp macro="" textlink="">
      <xdr:nvSpPr>
        <xdr:cNvPr id="7" name="四角形吹き出し 6"/>
        <xdr:cNvSpPr/>
      </xdr:nvSpPr>
      <xdr:spPr>
        <a:xfrm>
          <a:off x="5118817" y="6531372"/>
          <a:ext cx="421072" cy="760184"/>
        </a:xfrm>
        <a:prstGeom prst="wedgeRectCallout">
          <a:avLst>
            <a:gd name="adj1" fmla="val 58688"/>
            <a:gd name="adj2" fmla="val 384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rIns="18000" bIns="18000" rtlCol="0" anchor="t">
          <a:spAutoFit/>
        </a:bodyPr>
        <a:lstStyle/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まんのう町、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直島町 以外</a:t>
          </a:r>
        </a:p>
      </xdr:txBody>
    </xdr:sp>
    <xdr:clientData/>
  </xdr:oneCellAnchor>
  <xdr:twoCellAnchor>
    <xdr:from>
      <xdr:col>10</xdr:col>
      <xdr:colOff>51027</xdr:colOff>
      <xdr:row>35</xdr:row>
      <xdr:rowOff>23579</xdr:rowOff>
    </xdr:from>
    <xdr:to>
      <xdr:col>10</xdr:col>
      <xdr:colOff>359938</xdr:colOff>
      <xdr:row>38</xdr:row>
      <xdr:rowOff>23245</xdr:rowOff>
    </xdr:to>
    <xdr:sp macro="" textlink="">
      <xdr:nvSpPr>
        <xdr:cNvPr id="8" name="四角形吹き出し 7"/>
        <xdr:cNvSpPr/>
      </xdr:nvSpPr>
      <xdr:spPr>
        <a:xfrm>
          <a:off x="5226277" y="7573729"/>
          <a:ext cx="308911" cy="621966"/>
        </a:xfrm>
        <a:prstGeom prst="wedgeRectCallout">
          <a:avLst>
            <a:gd name="adj1" fmla="val 63521"/>
            <a:gd name="adj2" fmla="val -2155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1800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まんのう町</a:t>
          </a:r>
        </a:p>
      </xdr:txBody>
    </xdr:sp>
    <xdr:clientData/>
  </xdr:twoCellAnchor>
  <xdr:twoCellAnchor>
    <xdr:from>
      <xdr:col>16</xdr:col>
      <xdr:colOff>35277</xdr:colOff>
      <xdr:row>0</xdr:row>
      <xdr:rowOff>182269</xdr:rowOff>
    </xdr:from>
    <xdr:to>
      <xdr:col>20</xdr:col>
      <xdr:colOff>264583</xdr:colOff>
      <xdr:row>1</xdr:row>
      <xdr:rowOff>258704</xdr:rowOff>
    </xdr:to>
    <xdr:sp macro="" textlink="">
      <xdr:nvSpPr>
        <xdr:cNvPr id="10" name="テキスト ボックス 9"/>
        <xdr:cNvSpPr txBox="1"/>
      </xdr:nvSpPr>
      <xdr:spPr>
        <a:xfrm>
          <a:off x="8772877" y="182269"/>
          <a:ext cx="1823156" cy="355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693796</xdr:colOff>
      <xdr:row>1</xdr:row>
      <xdr:rowOff>194027</xdr:rowOff>
    </xdr:from>
    <xdr:to>
      <xdr:col>16</xdr:col>
      <xdr:colOff>787870</xdr:colOff>
      <xdr:row>1</xdr:row>
      <xdr:rowOff>341018</xdr:rowOff>
    </xdr:to>
    <xdr:sp macro="" textlink="">
      <xdr:nvSpPr>
        <xdr:cNvPr id="11" name="下矢印 10"/>
        <xdr:cNvSpPr/>
      </xdr:nvSpPr>
      <xdr:spPr>
        <a:xfrm>
          <a:off x="9431396" y="473427"/>
          <a:ext cx="94074" cy="14699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135232</xdr:colOff>
      <xdr:row>45</xdr:row>
      <xdr:rowOff>123473</xdr:rowOff>
    </xdr:from>
    <xdr:to>
      <xdr:col>6</xdr:col>
      <xdr:colOff>335140</xdr:colOff>
      <xdr:row>48</xdr:row>
      <xdr:rowOff>17639</xdr:rowOff>
    </xdr:to>
    <xdr:sp macro="" textlink="">
      <xdr:nvSpPr>
        <xdr:cNvPr id="12" name="テキスト ボックス 11"/>
        <xdr:cNvSpPr txBox="1"/>
      </xdr:nvSpPr>
      <xdr:spPr>
        <a:xfrm>
          <a:off x="1900532" y="9496073"/>
          <a:ext cx="1812808" cy="364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182269</xdr:colOff>
      <xdr:row>45</xdr:row>
      <xdr:rowOff>135232</xdr:rowOff>
    </xdr:from>
    <xdr:to>
      <xdr:col>15</xdr:col>
      <xdr:colOff>382176</xdr:colOff>
      <xdr:row>48</xdr:row>
      <xdr:rowOff>29398</xdr:rowOff>
    </xdr:to>
    <xdr:sp macro="" textlink="">
      <xdr:nvSpPr>
        <xdr:cNvPr id="13" name="テキスト ボックス 12"/>
        <xdr:cNvSpPr txBox="1"/>
      </xdr:nvSpPr>
      <xdr:spPr>
        <a:xfrm>
          <a:off x="6900569" y="9507832"/>
          <a:ext cx="1812807" cy="364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246944</xdr:colOff>
      <xdr:row>59</xdr:row>
      <xdr:rowOff>111713</xdr:rowOff>
    </xdr:from>
    <xdr:to>
      <xdr:col>8</xdr:col>
      <xdr:colOff>41157</xdr:colOff>
      <xdr:row>60</xdr:row>
      <xdr:rowOff>282221</xdr:rowOff>
    </xdr:to>
    <xdr:sp macro="" textlink="">
      <xdr:nvSpPr>
        <xdr:cNvPr id="14" name="テキスト ボックス 13"/>
        <xdr:cNvSpPr txBox="1"/>
      </xdr:nvSpPr>
      <xdr:spPr>
        <a:xfrm>
          <a:off x="2894894" y="12005263"/>
          <a:ext cx="1813513" cy="361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276343</xdr:colOff>
      <xdr:row>59</xdr:row>
      <xdr:rowOff>123472</xdr:rowOff>
    </xdr:from>
    <xdr:to>
      <xdr:col>17</xdr:col>
      <xdr:colOff>70556</xdr:colOff>
      <xdr:row>60</xdr:row>
      <xdr:rowOff>293980</xdr:rowOff>
    </xdr:to>
    <xdr:sp macro="" textlink="">
      <xdr:nvSpPr>
        <xdr:cNvPr id="15" name="テキスト ボックス 14"/>
        <xdr:cNvSpPr txBox="1"/>
      </xdr:nvSpPr>
      <xdr:spPr>
        <a:xfrm>
          <a:off x="7877293" y="12017022"/>
          <a:ext cx="1813513" cy="361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528912</xdr:colOff>
      <xdr:row>4</xdr:row>
      <xdr:rowOff>32565</xdr:rowOff>
    </xdr:from>
    <xdr:to>
      <xdr:col>18</xdr:col>
      <xdr:colOff>109142</xdr:colOff>
      <xdr:row>5</xdr:row>
      <xdr:rowOff>276795</xdr:rowOff>
    </xdr:to>
    <xdr:sp macro="" textlink="">
      <xdr:nvSpPr>
        <xdr:cNvPr id="33" name="テキスト ボックス 21"/>
        <xdr:cNvSpPr txBox="1"/>
      </xdr:nvSpPr>
      <xdr:spPr>
        <a:xfrm>
          <a:off x="6194303" y="1044596"/>
          <a:ext cx="4154214" cy="551808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36000" tIns="45720" rIns="3600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>
              <a:effectLst/>
              <a:latin typeface="+mn-lt"/>
              <a:ea typeface="+mn-ea"/>
              <a:cs typeface="+mn-cs"/>
            </a:rPr>
            <a:t>掛け率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1">
              <a:effectLst/>
              <a:latin typeface="+mn-lt"/>
              <a:ea typeface="+mn-ea"/>
              <a:cs typeface="+mn-cs"/>
            </a:rPr>
            <a:t>➋</a:t>
          </a:r>
          <a:r>
            <a:rPr lang="en-US" altLang="ja-JP" sz="1200" b="1">
              <a:effectLst/>
              <a:latin typeface="+mn-lt"/>
              <a:ea typeface="+mn-ea"/>
              <a:cs typeface="+mn-cs"/>
            </a:rPr>
            <a:t> 0.4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100" baseline="0">
              <a:effectLst/>
              <a:latin typeface="+mn-lt"/>
              <a:ea typeface="+mn-ea"/>
              <a:cs typeface="+mn-cs"/>
            </a:rPr>
            <a:t> 「非認証店」又は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8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800" b="1">
              <a:effectLst/>
              <a:latin typeface="+mn-lt"/>
              <a:ea typeface="+mn-ea"/>
              <a:cs typeface="+mn-cs"/>
            </a:rPr>
            <a:t>チェックボックス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100" baseline="0">
              <a:effectLst/>
              <a:latin typeface="+mn-lt"/>
              <a:ea typeface="+mn-ea"/>
              <a:cs typeface="+mn-cs"/>
            </a:rPr>
            <a:t> 午後８時までの時短営業（酒類提供なし）を選択した </a:t>
          </a:r>
          <a:endParaRPr lang="ja-JP" altLang="ja-JP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effectLst/>
              <a:latin typeface="+mn-lt"/>
              <a:ea typeface="+mn-ea"/>
              <a:cs typeface="+mn-cs"/>
            </a:rPr>
            <a:t>　　　　　　　　　　　「かがわ安心飲食店認証制度」の認証店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　　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904416</xdr:colOff>
      <xdr:row>4</xdr:row>
      <xdr:rowOff>22643</xdr:rowOff>
    </xdr:from>
    <xdr:to>
      <xdr:col>11</xdr:col>
      <xdr:colOff>426640</xdr:colOff>
      <xdr:row>5</xdr:row>
      <xdr:rowOff>275014</xdr:rowOff>
    </xdr:to>
    <xdr:sp macro="" textlink="">
      <xdr:nvSpPr>
        <xdr:cNvPr id="34" name="テキスト ボックス 21"/>
        <xdr:cNvSpPr txBox="1"/>
      </xdr:nvSpPr>
      <xdr:spPr>
        <a:xfrm>
          <a:off x="2670510" y="1034674"/>
          <a:ext cx="3421521" cy="559949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36000" tIns="45720" rIns="3600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>
              <a:effectLst/>
              <a:latin typeface="+mn-lt"/>
              <a:ea typeface="+mn-ea"/>
              <a:cs typeface="+mn-cs"/>
            </a:rPr>
            <a:t>掛け率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1">
              <a:effectLst/>
              <a:latin typeface="+mn-lt"/>
              <a:ea typeface="+mn-ea"/>
              <a:cs typeface="+mn-cs"/>
            </a:rPr>
            <a:t>❶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 b="1">
              <a:effectLst/>
              <a:latin typeface="+mn-lt"/>
              <a:ea typeface="+mn-ea"/>
              <a:cs typeface="+mn-cs"/>
            </a:rPr>
            <a:t>0.3</a:t>
          </a:r>
          <a:r>
            <a:rPr lang="ja-JP" altLang="en-US" sz="1050" b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午後９時までの時短営業</a:t>
          </a:r>
          <a:endParaRPr lang="en-US" altLang="ja-JP" sz="1100" kern="100">
            <a:effectLst/>
            <a:latin typeface="ＭＳ Ｐゴシック" panose="020B0600070205080204" pitchFamily="50" charset="-128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　</a:t>
          </a:r>
          <a:r>
            <a:rPr lang="ja-JP" altLang="en-US" sz="110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　</a:t>
          </a:r>
          <a:r>
            <a:rPr lang="ja-JP" altLang="en-US" sz="800" b="1" kern="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チェックボックス</a:t>
          </a: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　</a:t>
          </a:r>
          <a:r>
            <a:rPr lang="ja-JP" altLang="en-US" sz="1100" kern="100" baseline="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 （酒類提供は</a:t>
          </a: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午後８時まで）を選択した</a:t>
          </a:r>
        </a:p>
        <a:p>
          <a:pPr algn="l">
            <a:spcAft>
              <a:spcPts val="0"/>
            </a:spcAft>
          </a:pP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　　　　　　　　　　</a:t>
          </a:r>
          <a:r>
            <a:rPr lang="ja-JP" altLang="en-US" sz="1100" kern="100" baseline="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 「</a:t>
          </a: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かがわ安心飲食店認証制度」の認証店</a:t>
          </a:r>
          <a:endParaRPr lang="ja-JP" sz="110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32564</xdr:colOff>
      <xdr:row>2</xdr:row>
      <xdr:rowOff>284936</xdr:rowOff>
    </xdr:from>
    <xdr:to>
      <xdr:col>4</xdr:col>
      <xdr:colOff>407051</xdr:colOff>
      <xdr:row>5</xdr:row>
      <xdr:rowOff>138398</xdr:rowOff>
    </xdr:to>
    <xdr:sp macro="" textlink="">
      <xdr:nvSpPr>
        <xdr:cNvPr id="35" name="テキスト ボックス 21"/>
        <xdr:cNvSpPr txBox="1"/>
      </xdr:nvSpPr>
      <xdr:spPr>
        <a:xfrm>
          <a:off x="171470" y="910014"/>
          <a:ext cx="2001675" cy="547993"/>
        </a:xfrm>
        <a:prstGeom prst="rect">
          <a:avLst/>
        </a:prstGeom>
        <a:solidFill>
          <a:sysClr val="window" lastClr="FFFFFF"/>
        </a:solidFill>
        <a:ln w="1270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営業時間短縮等の内容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❶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0.3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または　➋ 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0.4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いずれかに☑を付けてください</a:t>
          </a:r>
          <a:endParaRPr lang="ja-JP" sz="1050" kern="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</xdr:row>
          <xdr:rowOff>101600</xdr:rowOff>
        </xdr:from>
        <xdr:to>
          <xdr:col>5</xdr:col>
          <xdr:colOff>558800</xdr:colOff>
          <xdr:row>6</xdr:row>
          <xdr:rowOff>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5</xdr:row>
          <xdr:rowOff>95250</xdr:rowOff>
        </xdr:from>
        <xdr:to>
          <xdr:col>12</xdr:col>
          <xdr:colOff>355600</xdr:colOff>
          <xdr:row>5</xdr:row>
          <xdr:rowOff>298450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5</xdr:row>
      <xdr:rowOff>97692</xdr:rowOff>
    </xdr:from>
    <xdr:to>
      <xdr:col>5</xdr:col>
      <xdr:colOff>179103</xdr:colOff>
      <xdr:row>6</xdr:row>
      <xdr:rowOff>16282</xdr:rowOff>
    </xdr:to>
    <xdr:sp macro="" textlink="">
      <xdr:nvSpPr>
        <xdr:cNvPr id="39" name="テキスト ボックス 38"/>
        <xdr:cNvSpPr txBox="1"/>
      </xdr:nvSpPr>
      <xdr:spPr>
        <a:xfrm>
          <a:off x="0" y="1417301"/>
          <a:ext cx="2867931" cy="226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の場合は、チェックボックスをクリックしてください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89648</xdr:rowOff>
    </xdr:from>
    <xdr:to>
      <xdr:col>4</xdr:col>
      <xdr:colOff>832971</xdr:colOff>
      <xdr:row>1</xdr:row>
      <xdr:rowOff>97118</xdr:rowOff>
    </xdr:to>
    <xdr:sp macro="" textlink="">
      <xdr:nvSpPr>
        <xdr:cNvPr id="7" name="テキスト ボックス 21"/>
        <xdr:cNvSpPr txBox="1"/>
      </xdr:nvSpPr>
      <xdr:spPr>
        <a:xfrm>
          <a:off x="112059" y="89648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９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  <xdr:twoCellAnchor>
    <xdr:from>
      <xdr:col>10</xdr:col>
      <xdr:colOff>50578</xdr:colOff>
      <xdr:row>8</xdr:row>
      <xdr:rowOff>246063</xdr:rowOff>
    </xdr:from>
    <xdr:to>
      <xdr:col>10</xdr:col>
      <xdr:colOff>260987</xdr:colOff>
      <xdr:row>11</xdr:row>
      <xdr:rowOff>99310</xdr:rowOff>
    </xdr:to>
    <xdr:sp macro="" textlink="">
      <xdr:nvSpPr>
        <xdr:cNvPr id="10" name="四角形吹き出し 9"/>
        <xdr:cNvSpPr/>
      </xdr:nvSpPr>
      <xdr:spPr>
        <a:xfrm>
          <a:off x="4797203" y="2214563"/>
          <a:ext cx="210409" cy="519997"/>
        </a:xfrm>
        <a:prstGeom prst="wedgeRectCallout">
          <a:avLst>
            <a:gd name="adj1" fmla="val -64432"/>
            <a:gd name="adj2" fmla="val -430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360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直島町</a:t>
          </a:r>
        </a:p>
      </xdr:txBody>
    </xdr:sp>
    <xdr:clientData/>
  </xdr:twoCellAnchor>
  <xdr:oneCellAnchor>
    <xdr:from>
      <xdr:col>2</xdr:col>
      <xdr:colOff>1108</xdr:colOff>
      <xdr:row>27</xdr:row>
      <xdr:rowOff>105057</xdr:rowOff>
    </xdr:from>
    <xdr:ext cx="421072" cy="760184"/>
    <xdr:sp macro="" textlink="">
      <xdr:nvSpPr>
        <xdr:cNvPr id="11" name="四角形吹き出し 10"/>
        <xdr:cNvSpPr/>
      </xdr:nvSpPr>
      <xdr:spPr>
        <a:xfrm>
          <a:off x="222620" y="6041569"/>
          <a:ext cx="421072" cy="760184"/>
        </a:xfrm>
        <a:prstGeom prst="wedgeRectCallout">
          <a:avLst>
            <a:gd name="adj1" fmla="val 59361"/>
            <a:gd name="adj2" fmla="val 49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rIns="18000" bIns="18000" rtlCol="0" anchor="t">
          <a:spAutoFit/>
        </a:bodyPr>
        <a:lstStyle/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まんのう町、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直島町 以外</a:t>
          </a:r>
        </a:p>
      </xdr:txBody>
    </xdr:sp>
    <xdr:clientData/>
  </xdr:oneCellAnchor>
  <xdr:twoCellAnchor>
    <xdr:from>
      <xdr:col>2</xdr:col>
      <xdr:colOff>84154</xdr:colOff>
      <xdr:row>32</xdr:row>
      <xdr:rowOff>31956</xdr:rowOff>
    </xdr:from>
    <xdr:to>
      <xdr:col>3</xdr:col>
      <xdr:colOff>101492</xdr:colOff>
      <xdr:row>35</xdr:row>
      <xdr:rowOff>32730</xdr:rowOff>
    </xdr:to>
    <xdr:sp macro="" textlink="">
      <xdr:nvSpPr>
        <xdr:cNvPr id="12" name="四角形吹き出し 11"/>
        <xdr:cNvSpPr/>
      </xdr:nvSpPr>
      <xdr:spPr>
        <a:xfrm>
          <a:off x="306404" y="7001081"/>
          <a:ext cx="350713" cy="619899"/>
        </a:xfrm>
        <a:prstGeom prst="wedgeRectCallout">
          <a:avLst>
            <a:gd name="adj1" fmla="val 60159"/>
            <a:gd name="adj2" fmla="val -1700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1800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まんのう町</a:t>
          </a:r>
        </a:p>
      </xdr:txBody>
    </xdr:sp>
    <xdr:clientData/>
  </xdr:twoCellAnchor>
  <xdr:twoCellAnchor>
    <xdr:from>
      <xdr:col>21</xdr:col>
      <xdr:colOff>42641</xdr:colOff>
      <xdr:row>8</xdr:row>
      <xdr:rowOff>222250</xdr:rowOff>
    </xdr:from>
    <xdr:to>
      <xdr:col>21</xdr:col>
      <xdr:colOff>253050</xdr:colOff>
      <xdr:row>11</xdr:row>
      <xdr:rowOff>75497</xdr:rowOff>
    </xdr:to>
    <xdr:sp macro="" textlink="">
      <xdr:nvSpPr>
        <xdr:cNvPr id="13" name="四角形吹き出し 12"/>
        <xdr:cNvSpPr/>
      </xdr:nvSpPr>
      <xdr:spPr>
        <a:xfrm>
          <a:off x="9948641" y="2190750"/>
          <a:ext cx="210409" cy="519997"/>
        </a:xfrm>
        <a:prstGeom prst="wedgeRectCallout">
          <a:avLst>
            <a:gd name="adj1" fmla="val -64432"/>
            <a:gd name="adj2" fmla="val -430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360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直島町</a:t>
          </a:r>
        </a:p>
      </xdr:txBody>
    </xdr:sp>
    <xdr:clientData/>
  </xdr:twoCellAnchor>
  <xdr:oneCellAnchor>
    <xdr:from>
      <xdr:col>13</xdr:col>
      <xdr:colOff>31750</xdr:colOff>
      <xdr:row>26</xdr:row>
      <xdr:rowOff>199015</xdr:rowOff>
    </xdr:from>
    <xdr:ext cx="421072" cy="760184"/>
    <xdr:sp macro="" textlink="">
      <xdr:nvSpPr>
        <xdr:cNvPr id="14" name="四角形吹き出し 13"/>
        <xdr:cNvSpPr/>
      </xdr:nvSpPr>
      <xdr:spPr>
        <a:xfrm>
          <a:off x="5413375" y="5929890"/>
          <a:ext cx="421072" cy="760184"/>
        </a:xfrm>
        <a:prstGeom prst="wedgeRectCallout">
          <a:avLst>
            <a:gd name="adj1" fmla="val 59361"/>
            <a:gd name="adj2" fmla="val 49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rIns="18000" bIns="18000" rtlCol="0" anchor="t">
          <a:spAutoFit/>
        </a:bodyPr>
        <a:lstStyle/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まんのう町、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直島町 以外</a:t>
          </a:r>
        </a:p>
      </xdr:txBody>
    </xdr:sp>
    <xdr:clientData/>
  </xdr:oneCellAnchor>
  <xdr:twoCellAnchor>
    <xdr:from>
      <xdr:col>13</xdr:col>
      <xdr:colOff>100029</xdr:colOff>
      <xdr:row>32</xdr:row>
      <xdr:rowOff>8143</xdr:rowOff>
    </xdr:from>
    <xdr:to>
      <xdr:col>14</xdr:col>
      <xdr:colOff>93555</xdr:colOff>
      <xdr:row>35</xdr:row>
      <xdr:rowOff>8917</xdr:rowOff>
    </xdr:to>
    <xdr:sp macro="" textlink="">
      <xdr:nvSpPr>
        <xdr:cNvPr id="15" name="四角形吹き出し 14"/>
        <xdr:cNvSpPr/>
      </xdr:nvSpPr>
      <xdr:spPr>
        <a:xfrm>
          <a:off x="5481654" y="6977268"/>
          <a:ext cx="326901" cy="619899"/>
        </a:xfrm>
        <a:prstGeom prst="wedgeRectCallout">
          <a:avLst>
            <a:gd name="adj1" fmla="val 60159"/>
            <a:gd name="adj2" fmla="val -1700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1800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まんのう町</a:t>
          </a:r>
        </a:p>
      </xdr:txBody>
    </xdr:sp>
    <xdr:clientData/>
  </xdr:twoCellAnchor>
  <xdr:twoCellAnchor>
    <xdr:from>
      <xdr:col>19</xdr:col>
      <xdr:colOff>199361</xdr:colOff>
      <xdr:row>0</xdr:row>
      <xdr:rowOff>169825</xdr:rowOff>
    </xdr:from>
    <xdr:to>
      <xdr:col>24</xdr:col>
      <xdr:colOff>130311</xdr:colOff>
      <xdr:row>1</xdr:row>
      <xdr:rowOff>247901</xdr:rowOff>
    </xdr:to>
    <xdr:sp macro="" textlink="">
      <xdr:nvSpPr>
        <xdr:cNvPr id="9" name="テキスト ボックス 8"/>
        <xdr:cNvSpPr txBox="1"/>
      </xdr:nvSpPr>
      <xdr:spPr>
        <a:xfrm>
          <a:off x="8853082" y="169825"/>
          <a:ext cx="182856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317500</xdr:colOff>
      <xdr:row>1</xdr:row>
      <xdr:rowOff>184594</xdr:rowOff>
    </xdr:from>
    <xdr:to>
      <xdr:col>20</xdr:col>
      <xdr:colOff>411574</xdr:colOff>
      <xdr:row>1</xdr:row>
      <xdr:rowOff>331585</xdr:rowOff>
    </xdr:to>
    <xdr:sp macro="" textlink="">
      <xdr:nvSpPr>
        <xdr:cNvPr id="16" name="下矢印 15"/>
        <xdr:cNvSpPr/>
      </xdr:nvSpPr>
      <xdr:spPr>
        <a:xfrm>
          <a:off x="9377326" y="465175"/>
          <a:ext cx="94074" cy="14699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420873</xdr:colOff>
      <xdr:row>43</xdr:row>
      <xdr:rowOff>140291</xdr:rowOff>
    </xdr:from>
    <xdr:to>
      <xdr:col>7</xdr:col>
      <xdr:colOff>208660</xdr:colOff>
      <xdr:row>45</xdr:row>
      <xdr:rowOff>85459</xdr:rowOff>
    </xdr:to>
    <xdr:sp macro="" textlink="">
      <xdr:nvSpPr>
        <xdr:cNvPr id="18" name="テキスト ボックス 17"/>
        <xdr:cNvSpPr txBox="1"/>
      </xdr:nvSpPr>
      <xdr:spPr>
        <a:xfrm>
          <a:off x="1114943" y="9177965"/>
          <a:ext cx="181092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383953</xdr:colOff>
      <xdr:row>43</xdr:row>
      <xdr:rowOff>103373</xdr:rowOff>
    </xdr:from>
    <xdr:to>
      <xdr:col>18</xdr:col>
      <xdr:colOff>171739</xdr:colOff>
      <xdr:row>45</xdr:row>
      <xdr:rowOff>48541</xdr:rowOff>
    </xdr:to>
    <xdr:sp macro="" textlink="">
      <xdr:nvSpPr>
        <xdr:cNvPr id="19" name="テキスト ボックス 18"/>
        <xdr:cNvSpPr txBox="1"/>
      </xdr:nvSpPr>
      <xdr:spPr>
        <a:xfrm>
          <a:off x="6283546" y="9141047"/>
          <a:ext cx="181092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583313</xdr:colOff>
      <xdr:row>54</xdr:row>
      <xdr:rowOff>95988</xdr:rowOff>
    </xdr:from>
    <xdr:to>
      <xdr:col>9</xdr:col>
      <xdr:colOff>371100</xdr:colOff>
      <xdr:row>55</xdr:row>
      <xdr:rowOff>247900</xdr:rowOff>
    </xdr:to>
    <xdr:sp macro="" textlink="">
      <xdr:nvSpPr>
        <xdr:cNvPr id="20" name="テキスト ボックス 19"/>
        <xdr:cNvSpPr txBox="1"/>
      </xdr:nvSpPr>
      <xdr:spPr>
        <a:xfrm>
          <a:off x="2414476" y="11407848"/>
          <a:ext cx="181092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546396</xdr:colOff>
      <xdr:row>54</xdr:row>
      <xdr:rowOff>95989</xdr:rowOff>
    </xdr:from>
    <xdr:to>
      <xdr:col>20</xdr:col>
      <xdr:colOff>334182</xdr:colOff>
      <xdr:row>55</xdr:row>
      <xdr:rowOff>247901</xdr:rowOff>
    </xdr:to>
    <xdr:sp macro="" textlink="">
      <xdr:nvSpPr>
        <xdr:cNvPr id="21" name="テキスト ボックス 20"/>
        <xdr:cNvSpPr txBox="1"/>
      </xdr:nvSpPr>
      <xdr:spPr>
        <a:xfrm>
          <a:off x="7583082" y="11407849"/>
          <a:ext cx="181092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686210</xdr:colOff>
      <xdr:row>1</xdr:row>
      <xdr:rowOff>10242</xdr:rowOff>
    </xdr:from>
    <xdr:to>
      <xdr:col>10</xdr:col>
      <xdr:colOff>399435</xdr:colOff>
      <xdr:row>2</xdr:row>
      <xdr:rowOff>158430</xdr:rowOff>
    </xdr:to>
    <xdr:sp macro="" textlink="">
      <xdr:nvSpPr>
        <xdr:cNvPr id="25" name="テキスト ボックス 24"/>
        <xdr:cNvSpPr txBox="1"/>
      </xdr:nvSpPr>
      <xdr:spPr>
        <a:xfrm>
          <a:off x="4578145" y="286774"/>
          <a:ext cx="635000" cy="4861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32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59532</xdr:rowOff>
    </xdr:from>
    <xdr:to>
      <xdr:col>4</xdr:col>
      <xdr:colOff>830870</xdr:colOff>
      <xdr:row>1</xdr:row>
      <xdr:rowOff>74005</xdr:rowOff>
    </xdr:to>
    <xdr:sp macro="" textlink="">
      <xdr:nvSpPr>
        <xdr:cNvPr id="5" name="テキスト ボックス 21"/>
        <xdr:cNvSpPr txBox="1"/>
      </xdr:nvSpPr>
      <xdr:spPr>
        <a:xfrm>
          <a:off x="95251" y="59532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９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endParaRPr lang="en-US" alt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15876</xdr:colOff>
      <xdr:row>25</xdr:row>
      <xdr:rowOff>22227</xdr:rowOff>
    </xdr:from>
    <xdr:ext cx="421072" cy="760184"/>
    <xdr:sp macro="" textlink="">
      <xdr:nvSpPr>
        <xdr:cNvPr id="7" name="四角形吹き出し 6"/>
        <xdr:cNvSpPr/>
      </xdr:nvSpPr>
      <xdr:spPr>
        <a:xfrm>
          <a:off x="139778" y="5512654"/>
          <a:ext cx="421072" cy="760184"/>
        </a:xfrm>
        <a:prstGeom prst="wedgeRectCallout">
          <a:avLst>
            <a:gd name="adj1" fmla="val 59361"/>
            <a:gd name="adj2" fmla="val 2474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rIns="18000" bIns="18000" rtlCol="0" anchor="t">
          <a:spAutoFit/>
        </a:bodyPr>
        <a:lstStyle/>
        <a:p>
          <a:pPr algn="l">
            <a:lnSpc>
              <a:spcPts val="950"/>
            </a:lnSpc>
          </a:pPr>
          <a:r>
            <a:rPr kumimoji="1" lang="ja-JP" altLang="en-US" sz="900">
              <a:solidFill>
                <a:sysClr val="windowText" lastClr="000000"/>
              </a:solidFill>
            </a:rPr>
            <a:t>綾川町、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900">
              <a:solidFill>
                <a:sysClr val="windowText" lastClr="000000"/>
              </a:solidFill>
            </a:rPr>
            <a:t>まんのう町</a:t>
          </a:r>
          <a:r>
            <a:rPr kumimoji="1" lang="en-US" altLang="ja-JP" sz="900">
              <a:solidFill>
                <a:sysClr val="windowText" lastClr="000000"/>
              </a:solidFill>
            </a:rPr>
            <a:t>,</a:t>
          </a:r>
        </a:p>
        <a:p>
          <a:pPr algn="l">
            <a:lnSpc>
              <a:spcPts val="950"/>
            </a:lnSpc>
          </a:pPr>
          <a:r>
            <a:rPr kumimoji="1" lang="ja-JP" altLang="en-US" sz="900">
              <a:solidFill>
                <a:sysClr val="windowText" lastClr="000000"/>
              </a:solidFill>
            </a:rPr>
            <a:t>直島町 以外</a:t>
          </a:r>
        </a:p>
      </xdr:txBody>
    </xdr:sp>
    <xdr:clientData/>
  </xdr:oneCellAnchor>
  <xdr:twoCellAnchor>
    <xdr:from>
      <xdr:col>1</xdr:col>
      <xdr:colOff>73704</xdr:colOff>
      <xdr:row>31</xdr:row>
      <xdr:rowOff>15875</xdr:rowOff>
    </xdr:from>
    <xdr:to>
      <xdr:col>3</xdr:col>
      <xdr:colOff>103185</xdr:colOff>
      <xdr:row>34</xdr:row>
      <xdr:rowOff>39689</xdr:rowOff>
    </xdr:to>
    <xdr:sp macro="" textlink="">
      <xdr:nvSpPr>
        <xdr:cNvPr id="8" name="四角形吹き出し 7"/>
        <xdr:cNvSpPr/>
      </xdr:nvSpPr>
      <xdr:spPr>
        <a:xfrm>
          <a:off x="192767" y="6774089"/>
          <a:ext cx="346981" cy="636136"/>
        </a:xfrm>
        <a:prstGeom prst="wedgeRectCallout">
          <a:avLst>
            <a:gd name="adj1" fmla="val 60159"/>
            <a:gd name="adj2" fmla="val -1700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1800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綾川町、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まんのう町</a:t>
          </a:r>
        </a:p>
      </xdr:txBody>
    </xdr:sp>
    <xdr:clientData/>
  </xdr:twoCellAnchor>
  <xdr:twoCellAnchor>
    <xdr:from>
      <xdr:col>10</xdr:col>
      <xdr:colOff>47627</xdr:colOff>
      <xdr:row>8</xdr:row>
      <xdr:rowOff>111122</xdr:rowOff>
    </xdr:from>
    <xdr:to>
      <xdr:col>10</xdr:col>
      <xdr:colOff>222250</xdr:colOff>
      <xdr:row>10</xdr:row>
      <xdr:rowOff>150809</xdr:rowOff>
    </xdr:to>
    <xdr:sp macro="" textlink="">
      <xdr:nvSpPr>
        <xdr:cNvPr id="9" name="四角形吹き出し 8"/>
        <xdr:cNvSpPr/>
      </xdr:nvSpPr>
      <xdr:spPr>
        <a:xfrm>
          <a:off x="4770440" y="2166935"/>
          <a:ext cx="174623" cy="452437"/>
        </a:xfrm>
        <a:prstGeom prst="wedgeRectCallout">
          <a:avLst>
            <a:gd name="adj1" fmla="val -61102"/>
            <a:gd name="adj2" fmla="val -3517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360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直島町</a:t>
          </a:r>
        </a:p>
      </xdr:txBody>
    </xdr:sp>
    <xdr:clientData/>
  </xdr:twoCellAnchor>
  <xdr:twoCellAnchor>
    <xdr:from>
      <xdr:col>17</xdr:col>
      <xdr:colOff>1556525</xdr:colOff>
      <xdr:row>3</xdr:row>
      <xdr:rowOff>69695</xdr:rowOff>
    </xdr:from>
    <xdr:to>
      <xdr:col>23</xdr:col>
      <xdr:colOff>419176</xdr:colOff>
      <xdr:row>5</xdr:row>
      <xdr:rowOff>2437</xdr:rowOff>
    </xdr:to>
    <xdr:sp macro="" textlink="">
      <xdr:nvSpPr>
        <xdr:cNvPr id="11" name="テキスト ボックス 10"/>
        <xdr:cNvSpPr txBox="1"/>
      </xdr:nvSpPr>
      <xdr:spPr>
        <a:xfrm>
          <a:off x="8673171" y="1022195"/>
          <a:ext cx="182856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394939</xdr:colOff>
      <xdr:row>4</xdr:row>
      <xdr:rowOff>294268</xdr:rowOff>
    </xdr:from>
    <xdr:to>
      <xdr:col>18</xdr:col>
      <xdr:colOff>489013</xdr:colOff>
      <xdr:row>5</xdr:row>
      <xdr:rowOff>131503</xdr:rowOff>
    </xdr:to>
    <xdr:sp macro="" textlink="">
      <xdr:nvSpPr>
        <xdr:cNvPr id="12" name="下矢印 11"/>
        <xdr:cNvSpPr/>
      </xdr:nvSpPr>
      <xdr:spPr>
        <a:xfrm>
          <a:off x="9354634" y="1362927"/>
          <a:ext cx="94074" cy="14699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309756</xdr:colOff>
      <xdr:row>40</xdr:row>
      <xdr:rowOff>139390</xdr:rowOff>
    </xdr:from>
    <xdr:to>
      <xdr:col>9</xdr:col>
      <xdr:colOff>107267</xdr:colOff>
      <xdr:row>42</xdr:row>
      <xdr:rowOff>95364</xdr:rowOff>
    </xdr:to>
    <xdr:sp macro="" textlink="">
      <xdr:nvSpPr>
        <xdr:cNvPr id="13" name="テキスト ボックス 12"/>
        <xdr:cNvSpPr txBox="1"/>
      </xdr:nvSpPr>
      <xdr:spPr>
        <a:xfrm>
          <a:off x="2044390" y="8526036"/>
          <a:ext cx="181092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604025</xdr:colOff>
      <xdr:row>51</xdr:row>
      <xdr:rowOff>92927</xdr:rowOff>
    </xdr:from>
    <xdr:to>
      <xdr:col>9</xdr:col>
      <xdr:colOff>401536</xdr:colOff>
      <xdr:row>52</xdr:row>
      <xdr:rowOff>250242</xdr:rowOff>
    </xdr:to>
    <xdr:sp macro="" textlink="">
      <xdr:nvSpPr>
        <xdr:cNvPr id="14" name="テキスト ボックス 13"/>
        <xdr:cNvSpPr txBox="1"/>
      </xdr:nvSpPr>
      <xdr:spPr>
        <a:xfrm>
          <a:off x="2338659" y="10694329"/>
          <a:ext cx="181092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10762</xdr:colOff>
      <xdr:row>8</xdr:row>
      <xdr:rowOff>172203</xdr:rowOff>
    </xdr:from>
    <xdr:to>
      <xdr:col>22</xdr:col>
      <xdr:colOff>21525</xdr:colOff>
      <xdr:row>14</xdr:row>
      <xdr:rowOff>10763</xdr:rowOff>
    </xdr:to>
    <xdr:sp macro="" textlink="">
      <xdr:nvSpPr>
        <xdr:cNvPr id="22" name="テキスト ボックス 21"/>
        <xdr:cNvSpPr txBox="1"/>
      </xdr:nvSpPr>
      <xdr:spPr>
        <a:xfrm>
          <a:off x="5176864" y="2260169"/>
          <a:ext cx="4940085" cy="1065509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/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午後９時までの時短営業</a:t>
          </a:r>
          <a:endParaRPr lang="ja-JP" altLang="ja-JP" sz="1050">
            <a:effectLst/>
          </a:endParaRPr>
        </a:p>
        <a:p>
          <a:pPr eaLnBrk="1" fontAlgn="auto" latinLnBrk="0" hangingPunct="1"/>
          <a:r>
            <a:rPr lang="ja-JP" altLang="ja-JP" sz="105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5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 baseline="0">
              <a:effectLst/>
              <a:latin typeface="+mn-lt"/>
              <a:ea typeface="+mn-ea"/>
              <a:cs typeface="+mn-cs"/>
            </a:rPr>
            <a:t>（酒類提供は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午後８時まで）を選択した</a:t>
          </a:r>
          <a:endParaRPr lang="ja-JP" altLang="ja-JP" sz="1050">
            <a:effectLst/>
          </a:endParaRPr>
        </a:p>
        <a:p>
          <a:r>
            <a:rPr lang="ja-JP" altLang="ja-JP" sz="105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5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 baseline="0"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かがわ安心飲食店認証制度」の認証店</a:t>
          </a:r>
          <a:endParaRPr lang="ja-JP" altLang="ja-JP" sz="105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sz="105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893305</xdr:colOff>
      <xdr:row>10</xdr:row>
      <xdr:rowOff>21524</xdr:rowOff>
    </xdr:from>
    <xdr:to>
      <xdr:col>23</xdr:col>
      <xdr:colOff>226017</xdr:colOff>
      <xdr:row>14</xdr:row>
      <xdr:rowOff>64575</xdr:rowOff>
    </xdr:to>
    <xdr:sp macro="" textlink="">
      <xdr:nvSpPr>
        <xdr:cNvPr id="2" name="テキスト ボックス 1"/>
        <xdr:cNvSpPr txBox="1"/>
      </xdr:nvSpPr>
      <xdr:spPr>
        <a:xfrm>
          <a:off x="8125847" y="2518473"/>
          <a:ext cx="2292458" cy="861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★下記の「選択方式」の中から、</a:t>
          </a:r>
          <a:endParaRPr kumimoji="1" lang="en-US" altLang="ja-JP" sz="1050"/>
        </a:p>
        <a:p>
          <a:r>
            <a:rPr kumimoji="1" lang="ja-JP" altLang="en-US" sz="1050"/>
            <a:t>　 最も高い金額にチェック</a:t>
          </a:r>
          <a:endParaRPr kumimoji="1" lang="en-US" altLang="ja-JP" sz="1050"/>
        </a:p>
        <a:p>
          <a:r>
            <a:rPr kumimoji="1" lang="ja-JP" altLang="en-US" sz="1050"/>
            <a:t>★「上限額」についても、該当する  </a:t>
          </a:r>
          <a:endParaRPr kumimoji="1" lang="en-US" altLang="ja-JP" sz="1050"/>
        </a:p>
        <a:p>
          <a:r>
            <a:rPr kumimoji="1" lang="ja-JP" altLang="en-US" sz="1050"/>
            <a:t>　</a:t>
          </a:r>
          <a:r>
            <a:rPr kumimoji="1" lang="ja-JP" altLang="en-US" sz="1050" baseline="0"/>
            <a:t>  </a:t>
          </a:r>
          <a:r>
            <a:rPr kumimoji="1" lang="ja-JP" altLang="en-US" sz="1050"/>
            <a:t>金額にチェック</a:t>
          </a:r>
        </a:p>
      </xdr:txBody>
    </xdr:sp>
    <xdr:clientData/>
  </xdr:twoCellAnchor>
  <xdr:twoCellAnchor>
    <xdr:from>
      <xdr:col>12</xdr:col>
      <xdr:colOff>21525</xdr:colOff>
      <xdr:row>15</xdr:row>
      <xdr:rowOff>43049</xdr:rowOff>
    </xdr:from>
    <xdr:to>
      <xdr:col>22</xdr:col>
      <xdr:colOff>21525</xdr:colOff>
      <xdr:row>20</xdr:row>
      <xdr:rowOff>0</xdr:rowOff>
    </xdr:to>
    <xdr:sp macro="" textlink="">
      <xdr:nvSpPr>
        <xdr:cNvPr id="25" name="テキスト ボックス 21"/>
        <xdr:cNvSpPr txBox="1"/>
      </xdr:nvSpPr>
      <xdr:spPr>
        <a:xfrm>
          <a:off x="5187627" y="3562456"/>
          <a:ext cx="4929322" cy="979408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/>
          <a:r>
            <a:rPr lang="ja-JP" altLang="ja-JP" sz="1100" b="1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aseline="0">
              <a:effectLst/>
              <a:latin typeface="+mn-lt"/>
              <a:ea typeface="+mn-ea"/>
              <a:cs typeface="+mn-cs"/>
            </a:rPr>
            <a:t> </a:t>
          </a:r>
          <a:endParaRPr lang="en-US" altLang="ja-JP" sz="1100" baseline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ja-JP" sz="1050" baseline="0">
              <a:effectLst/>
              <a:latin typeface="+mn-lt"/>
              <a:ea typeface="+mn-ea"/>
              <a:cs typeface="+mn-cs"/>
            </a:rPr>
            <a:t>「非認証店」又は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　　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50" baseline="0">
              <a:effectLst/>
              <a:latin typeface="+mn-lt"/>
              <a:ea typeface="+mn-ea"/>
              <a:cs typeface="+mn-cs"/>
            </a:rPr>
            <a:t>午後８時までの時短営業（酒類提供なし）を選択した </a:t>
          </a:r>
          <a:endParaRPr lang="ja-JP" altLang="ja-JP" sz="1000">
            <a:effectLst/>
          </a:endParaRPr>
        </a:p>
        <a:p>
          <a:r>
            <a:rPr lang="en-US" altLang="ja-JP" sz="105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「かがわ安心飲食店認証制度」の認証店</a:t>
          </a:r>
          <a:r>
            <a:rPr lang="ja-JP" altLang="ja-JP" sz="1050" b="1">
              <a:effectLst/>
              <a:latin typeface="+mn-lt"/>
              <a:ea typeface="+mn-ea"/>
              <a:cs typeface="+mn-cs"/>
            </a:rPr>
            <a:t>　　</a:t>
          </a:r>
          <a:endParaRPr lang="ja-JP" altLang="ja-JP" sz="10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914829</xdr:colOff>
      <xdr:row>16</xdr:row>
      <xdr:rowOff>129151</xdr:rowOff>
    </xdr:from>
    <xdr:to>
      <xdr:col>22</xdr:col>
      <xdr:colOff>64575</xdr:colOff>
      <xdr:row>18</xdr:row>
      <xdr:rowOff>204491</xdr:rowOff>
    </xdr:to>
    <xdr:sp macro="" textlink="">
      <xdr:nvSpPr>
        <xdr:cNvPr id="27" name="テキスト ボックス 26"/>
        <xdr:cNvSpPr txBox="1"/>
      </xdr:nvSpPr>
      <xdr:spPr>
        <a:xfrm>
          <a:off x="8147371" y="3853049"/>
          <a:ext cx="2012628" cy="484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★下記の「選択方式」の中から、</a:t>
          </a:r>
          <a:endParaRPr kumimoji="1" lang="en-US" altLang="ja-JP" sz="1050"/>
        </a:p>
        <a:p>
          <a:r>
            <a:rPr kumimoji="1" lang="ja-JP" altLang="en-US" sz="1050"/>
            <a:t>　 最も高い金額にチェック</a:t>
          </a:r>
          <a:endParaRPr kumimoji="1" lang="en-US" altLang="ja-JP" sz="105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13608</xdr:colOff>
      <xdr:row>0</xdr:row>
      <xdr:rowOff>68035</xdr:rowOff>
    </xdr:from>
    <xdr:to>
      <xdr:col>28</xdr:col>
      <xdr:colOff>376731</xdr:colOff>
      <xdr:row>1</xdr:row>
      <xdr:rowOff>45089</xdr:rowOff>
    </xdr:to>
    <xdr:sp macro="" textlink="">
      <xdr:nvSpPr>
        <xdr:cNvPr id="5" name="テキスト ボックス 21"/>
        <xdr:cNvSpPr txBox="1"/>
      </xdr:nvSpPr>
      <xdr:spPr>
        <a:xfrm>
          <a:off x="15389679" y="68035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９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endParaRPr lang="en-US" alt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707571</xdr:colOff>
      <xdr:row>0</xdr:row>
      <xdr:rowOff>68036</xdr:rowOff>
    </xdr:from>
    <xdr:to>
      <xdr:col>7</xdr:col>
      <xdr:colOff>335909</xdr:colOff>
      <xdr:row>1</xdr:row>
      <xdr:rowOff>45090</xdr:rowOff>
    </xdr:to>
    <xdr:sp macro="" textlink="">
      <xdr:nvSpPr>
        <xdr:cNvPr id="6" name="テキスト ボックス 21"/>
        <xdr:cNvSpPr txBox="1"/>
      </xdr:nvSpPr>
      <xdr:spPr>
        <a:xfrm>
          <a:off x="2612571" y="68036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９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  <xdr:twoCellAnchor>
    <xdr:from>
      <xdr:col>40</xdr:col>
      <xdr:colOff>18143</xdr:colOff>
      <xdr:row>23</xdr:row>
      <xdr:rowOff>163286</xdr:rowOff>
    </xdr:from>
    <xdr:to>
      <xdr:col>42</xdr:col>
      <xdr:colOff>480786</xdr:colOff>
      <xdr:row>26</xdr:row>
      <xdr:rowOff>136071</xdr:rowOff>
    </xdr:to>
    <xdr:sp macro="" textlink="">
      <xdr:nvSpPr>
        <xdr:cNvPr id="2" name="四角形吹き出し 1"/>
        <xdr:cNvSpPr/>
      </xdr:nvSpPr>
      <xdr:spPr>
        <a:xfrm>
          <a:off x="23549429" y="4191000"/>
          <a:ext cx="1460500" cy="489857"/>
        </a:xfrm>
        <a:prstGeom prst="wedgeRectCallout">
          <a:avLst>
            <a:gd name="adj1" fmla="val -52406"/>
            <a:gd name="adj2" fmla="val 9229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綾川町、まんのう町、直島町以外</a:t>
          </a:r>
        </a:p>
      </xdr:txBody>
    </xdr:sp>
    <xdr:clientData/>
  </xdr:twoCellAnchor>
  <xdr:twoCellAnchor>
    <xdr:from>
      <xdr:col>40</xdr:col>
      <xdr:colOff>18143</xdr:colOff>
      <xdr:row>29</xdr:row>
      <xdr:rowOff>36286</xdr:rowOff>
    </xdr:from>
    <xdr:to>
      <xdr:col>42</xdr:col>
      <xdr:colOff>480786</xdr:colOff>
      <xdr:row>31</xdr:row>
      <xdr:rowOff>18144</xdr:rowOff>
    </xdr:to>
    <xdr:sp macro="" textlink="">
      <xdr:nvSpPr>
        <xdr:cNvPr id="7" name="四角形吹き出し 6"/>
        <xdr:cNvSpPr/>
      </xdr:nvSpPr>
      <xdr:spPr>
        <a:xfrm>
          <a:off x="23549429" y="5116286"/>
          <a:ext cx="1460500" cy="326572"/>
        </a:xfrm>
        <a:prstGeom prst="wedgeRectCallout">
          <a:avLst>
            <a:gd name="adj1" fmla="val -48679"/>
            <a:gd name="adj2" fmla="val 9785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綾川町、まんのう町、</a:t>
          </a:r>
        </a:p>
      </xdr:txBody>
    </xdr:sp>
    <xdr:clientData/>
  </xdr:twoCellAnchor>
  <xdr:twoCellAnchor>
    <xdr:from>
      <xdr:col>40</xdr:col>
      <xdr:colOff>235857</xdr:colOff>
      <xdr:row>11</xdr:row>
      <xdr:rowOff>18143</xdr:rowOff>
    </xdr:from>
    <xdr:to>
      <xdr:col>42</xdr:col>
      <xdr:colOff>698500</xdr:colOff>
      <xdr:row>12</xdr:row>
      <xdr:rowOff>117929</xdr:rowOff>
    </xdr:to>
    <xdr:sp macro="" textlink="">
      <xdr:nvSpPr>
        <xdr:cNvPr id="8" name="四角形吹き出し 7"/>
        <xdr:cNvSpPr/>
      </xdr:nvSpPr>
      <xdr:spPr>
        <a:xfrm>
          <a:off x="23767143" y="2059214"/>
          <a:ext cx="1460500" cy="263072"/>
        </a:xfrm>
        <a:prstGeom prst="wedgeRectCallout">
          <a:avLst>
            <a:gd name="adj1" fmla="val -20729"/>
            <a:gd name="adj2" fmla="val -17293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直島町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9071</xdr:colOff>
      <xdr:row>15</xdr:row>
      <xdr:rowOff>27214</xdr:rowOff>
    </xdr:from>
    <xdr:to>
      <xdr:col>43</xdr:col>
      <xdr:colOff>69422</xdr:colOff>
      <xdr:row>17</xdr:row>
      <xdr:rowOff>118391</xdr:rowOff>
    </xdr:to>
    <xdr:sp macro="" textlink="">
      <xdr:nvSpPr>
        <xdr:cNvPr id="9" name="テキスト ボックス 8"/>
        <xdr:cNvSpPr txBox="1"/>
      </xdr:nvSpPr>
      <xdr:spPr>
        <a:xfrm>
          <a:off x="23540357" y="2739571"/>
          <a:ext cx="1856494" cy="417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1050" b="1">
              <a:solidFill>
                <a:srgbClr val="FF0000"/>
              </a:solidFill>
            </a:rPr>
            <a:t>Excel</a:t>
          </a:r>
          <a:r>
            <a:rPr kumimoji="1" lang="ja-JP" altLang="en-US" sz="1050" b="1">
              <a:solidFill>
                <a:srgbClr val="FF0000"/>
              </a:solidFill>
            </a:rPr>
            <a:t>で</a:t>
          </a:r>
          <a:r>
            <a:rPr kumimoji="1" lang="ja-JP" altLang="en-US" sz="1200" b="1">
              <a:solidFill>
                <a:srgbClr val="FF0000"/>
              </a:solidFill>
            </a:rPr>
            <a:t>計算</a:t>
          </a:r>
          <a:r>
            <a:rPr kumimoji="1" lang="ja-JP" altLang="en-US" sz="1050" b="1">
              <a:solidFill>
                <a:srgbClr val="FF0000"/>
              </a:solidFill>
            </a:rPr>
            <a:t>をする場合は、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ja-JP" altLang="en-US" sz="105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1050" b="1">
            <a:solidFill>
              <a:srgbClr val="FF0000"/>
            </a:solidFill>
          </a:endParaRPr>
        </a:p>
        <a:p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67235</xdr:rowOff>
    </xdr:from>
    <xdr:to>
      <xdr:col>4</xdr:col>
      <xdr:colOff>855383</xdr:colOff>
      <xdr:row>0</xdr:row>
      <xdr:rowOff>343646</xdr:rowOff>
    </xdr:to>
    <xdr:sp macro="" textlink="">
      <xdr:nvSpPr>
        <xdr:cNvPr id="3" name="テキスト ボックス 21"/>
        <xdr:cNvSpPr txBox="1"/>
      </xdr:nvSpPr>
      <xdr:spPr>
        <a:xfrm>
          <a:off x="134471" y="67235"/>
          <a:ext cx="1438088" cy="27641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９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  <xdr:twoCellAnchor>
    <xdr:from>
      <xdr:col>10</xdr:col>
      <xdr:colOff>45443</xdr:colOff>
      <xdr:row>13</xdr:row>
      <xdr:rowOff>209176</xdr:rowOff>
    </xdr:from>
    <xdr:to>
      <xdr:col>10</xdr:col>
      <xdr:colOff>255852</xdr:colOff>
      <xdr:row>16</xdr:row>
      <xdr:rowOff>71762</xdr:rowOff>
    </xdr:to>
    <xdr:sp macro="" textlink="">
      <xdr:nvSpPr>
        <xdr:cNvPr id="7" name="四角形吹き出し 6"/>
        <xdr:cNvSpPr/>
      </xdr:nvSpPr>
      <xdr:spPr>
        <a:xfrm>
          <a:off x="4572619" y="1919941"/>
          <a:ext cx="210409" cy="519997"/>
        </a:xfrm>
        <a:prstGeom prst="wedgeRectCallout">
          <a:avLst>
            <a:gd name="adj1" fmla="val -64432"/>
            <a:gd name="adj2" fmla="val -430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360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直島町</a:t>
          </a:r>
        </a:p>
      </xdr:txBody>
    </xdr:sp>
    <xdr:clientData/>
  </xdr:twoCellAnchor>
  <xdr:oneCellAnchor>
    <xdr:from>
      <xdr:col>0</xdr:col>
      <xdr:colOff>44824</xdr:colOff>
      <xdr:row>31</xdr:row>
      <xdr:rowOff>168193</xdr:rowOff>
    </xdr:from>
    <xdr:ext cx="421072" cy="760184"/>
    <xdr:sp macro="" textlink="">
      <xdr:nvSpPr>
        <xdr:cNvPr id="8" name="四角形吹き出し 7"/>
        <xdr:cNvSpPr/>
      </xdr:nvSpPr>
      <xdr:spPr>
        <a:xfrm>
          <a:off x="44824" y="5561958"/>
          <a:ext cx="421072" cy="760184"/>
        </a:xfrm>
        <a:prstGeom prst="wedgeRectCallout">
          <a:avLst>
            <a:gd name="adj1" fmla="val 59361"/>
            <a:gd name="adj2" fmla="val 49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rIns="18000" bIns="18000" rtlCol="0" anchor="t">
          <a:spAutoFit/>
        </a:bodyPr>
        <a:lstStyle/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まんのう町、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直島町 以外</a:t>
          </a:r>
        </a:p>
      </xdr:txBody>
    </xdr:sp>
    <xdr:clientData/>
  </xdr:oneCellAnchor>
  <xdr:twoCellAnchor>
    <xdr:from>
      <xdr:col>0</xdr:col>
      <xdr:colOff>113103</xdr:colOff>
      <xdr:row>37</xdr:row>
      <xdr:rowOff>5336</xdr:rowOff>
    </xdr:from>
    <xdr:to>
      <xdr:col>3</xdr:col>
      <xdr:colOff>103828</xdr:colOff>
      <xdr:row>40</xdr:row>
      <xdr:rowOff>20117</xdr:rowOff>
    </xdr:to>
    <xdr:sp macro="" textlink="">
      <xdr:nvSpPr>
        <xdr:cNvPr id="9" name="四角形吹き出し 8"/>
        <xdr:cNvSpPr/>
      </xdr:nvSpPr>
      <xdr:spPr>
        <a:xfrm>
          <a:off x="113103" y="6609336"/>
          <a:ext cx="326901" cy="619899"/>
        </a:xfrm>
        <a:prstGeom prst="wedgeRectCallout">
          <a:avLst>
            <a:gd name="adj1" fmla="val 60159"/>
            <a:gd name="adj2" fmla="val -1700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1800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まんのう町</a:t>
          </a:r>
        </a:p>
      </xdr:txBody>
    </xdr:sp>
    <xdr:clientData/>
  </xdr:twoCellAnchor>
  <xdr:twoCellAnchor>
    <xdr:from>
      <xdr:col>14</xdr:col>
      <xdr:colOff>798561</xdr:colOff>
      <xdr:row>9</xdr:row>
      <xdr:rowOff>28864</xdr:rowOff>
    </xdr:from>
    <xdr:to>
      <xdr:col>18</xdr:col>
      <xdr:colOff>10157</xdr:colOff>
      <xdr:row>10</xdr:row>
      <xdr:rowOff>272066</xdr:rowOff>
    </xdr:to>
    <xdr:sp macro="" textlink="">
      <xdr:nvSpPr>
        <xdr:cNvPr id="11" name="テキスト ボックス 10"/>
        <xdr:cNvSpPr txBox="1"/>
      </xdr:nvSpPr>
      <xdr:spPr>
        <a:xfrm>
          <a:off x="7292879" y="1346970"/>
          <a:ext cx="182856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625378</xdr:colOff>
      <xdr:row>10</xdr:row>
      <xdr:rowOff>182803</xdr:rowOff>
    </xdr:from>
    <xdr:to>
      <xdr:col>16</xdr:col>
      <xdr:colOff>57727</xdr:colOff>
      <xdr:row>11</xdr:row>
      <xdr:rowOff>105833</xdr:rowOff>
    </xdr:to>
    <xdr:sp macro="" textlink="">
      <xdr:nvSpPr>
        <xdr:cNvPr id="12" name="下矢印 11"/>
        <xdr:cNvSpPr/>
      </xdr:nvSpPr>
      <xdr:spPr>
        <a:xfrm>
          <a:off x="7927878" y="1616364"/>
          <a:ext cx="125076" cy="24053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519545</xdr:colOff>
      <xdr:row>47</xdr:row>
      <xdr:rowOff>9620</xdr:rowOff>
    </xdr:from>
    <xdr:to>
      <xdr:col>7</xdr:col>
      <xdr:colOff>310016</xdr:colOff>
      <xdr:row>49</xdr:row>
      <xdr:rowOff>60399</xdr:rowOff>
    </xdr:to>
    <xdr:sp macro="" textlink="">
      <xdr:nvSpPr>
        <xdr:cNvPr id="13" name="テキスト ボックス 12"/>
        <xdr:cNvSpPr txBox="1"/>
      </xdr:nvSpPr>
      <xdr:spPr>
        <a:xfrm>
          <a:off x="1029469" y="8880378"/>
          <a:ext cx="181092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788940</xdr:colOff>
      <xdr:row>59</xdr:row>
      <xdr:rowOff>86591</xdr:rowOff>
    </xdr:from>
    <xdr:to>
      <xdr:col>9</xdr:col>
      <xdr:colOff>579411</xdr:colOff>
      <xdr:row>60</xdr:row>
      <xdr:rowOff>243203</xdr:rowOff>
    </xdr:to>
    <xdr:sp macro="" textlink="">
      <xdr:nvSpPr>
        <xdr:cNvPr id="14" name="テキスト ボックス 13"/>
        <xdr:cNvSpPr txBox="1"/>
      </xdr:nvSpPr>
      <xdr:spPr>
        <a:xfrm>
          <a:off x="2434167" y="11709015"/>
          <a:ext cx="1849411" cy="35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8</xdr:row>
      <xdr:rowOff>202045</xdr:rowOff>
    </xdr:from>
    <xdr:to>
      <xdr:col>7</xdr:col>
      <xdr:colOff>294557</xdr:colOff>
      <xdr:row>10</xdr:row>
      <xdr:rowOff>6661</xdr:rowOff>
    </xdr:to>
    <xdr:sp macro="" textlink="">
      <xdr:nvSpPr>
        <xdr:cNvPr id="34" name="テキスト ボックス 33"/>
        <xdr:cNvSpPr txBox="1"/>
      </xdr:nvSpPr>
      <xdr:spPr>
        <a:xfrm>
          <a:off x="0" y="1500909"/>
          <a:ext cx="2824936" cy="227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の場合は、チェックボックスをクリックしてください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19245</xdr:rowOff>
    </xdr:from>
    <xdr:to>
      <xdr:col>6</xdr:col>
      <xdr:colOff>356448</xdr:colOff>
      <xdr:row>8</xdr:row>
      <xdr:rowOff>278601</xdr:rowOff>
    </xdr:to>
    <xdr:sp macro="" textlink="">
      <xdr:nvSpPr>
        <xdr:cNvPr id="31" name="テキスト ボックス 21"/>
        <xdr:cNvSpPr txBox="1"/>
      </xdr:nvSpPr>
      <xdr:spPr>
        <a:xfrm>
          <a:off x="0" y="1029472"/>
          <a:ext cx="2001675" cy="644205"/>
        </a:xfrm>
        <a:prstGeom prst="rect">
          <a:avLst/>
        </a:prstGeom>
        <a:noFill/>
        <a:ln w="1270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営業時間短縮等の内容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❶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0.3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または　➋ 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0.4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いずれかに☑を付けてください</a:t>
          </a:r>
          <a:endParaRPr lang="ja-JP" sz="1050" kern="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250152</xdr:colOff>
      <xdr:row>4</xdr:row>
      <xdr:rowOff>57727</xdr:rowOff>
    </xdr:from>
    <xdr:to>
      <xdr:col>11</xdr:col>
      <xdr:colOff>285006</xdr:colOff>
      <xdr:row>8</xdr:row>
      <xdr:rowOff>232827</xdr:rowOff>
    </xdr:to>
    <xdr:sp macro="" textlink="">
      <xdr:nvSpPr>
        <xdr:cNvPr id="32" name="テキスト ボックス 21"/>
        <xdr:cNvSpPr txBox="1"/>
      </xdr:nvSpPr>
      <xdr:spPr>
        <a:xfrm>
          <a:off x="1895379" y="1067954"/>
          <a:ext cx="3421521" cy="559949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36000" tIns="45720" rIns="3600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>
              <a:effectLst/>
              <a:latin typeface="+mn-lt"/>
              <a:ea typeface="+mn-ea"/>
              <a:cs typeface="+mn-cs"/>
            </a:rPr>
            <a:t>掛け率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1">
              <a:effectLst/>
              <a:latin typeface="+mn-lt"/>
              <a:ea typeface="+mn-ea"/>
              <a:cs typeface="+mn-cs"/>
            </a:rPr>
            <a:t>❶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 b="1">
              <a:effectLst/>
              <a:latin typeface="+mn-lt"/>
              <a:ea typeface="+mn-ea"/>
              <a:cs typeface="+mn-cs"/>
            </a:rPr>
            <a:t>0.3</a:t>
          </a:r>
          <a:r>
            <a:rPr lang="ja-JP" altLang="en-US" sz="1050" b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午後９時までの時短営業</a:t>
          </a:r>
          <a:endParaRPr lang="en-US" altLang="ja-JP" sz="1100" kern="100">
            <a:effectLst/>
            <a:latin typeface="ＭＳ Ｐゴシック" panose="020B0600070205080204" pitchFamily="50" charset="-128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　</a:t>
          </a:r>
          <a:r>
            <a:rPr lang="ja-JP" altLang="en-US" sz="110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　</a:t>
          </a:r>
          <a:r>
            <a:rPr lang="ja-JP" altLang="en-US" sz="800" b="1" kern="1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チェックボックス</a:t>
          </a: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　</a:t>
          </a:r>
          <a:r>
            <a:rPr lang="ja-JP" altLang="en-US" sz="1100" kern="100" baseline="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 （酒類提供は</a:t>
          </a: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午後８時まで）を選択した</a:t>
          </a:r>
        </a:p>
        <a:p>
          <a:pPr algn="l">
            <a:spcAft>
              <a:spcPts val="0"/>
            </a:spcAft>
          </a:pP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　　　　　　　　　　</a:t>
          </a:r>
          <a:r>
            <a:rPr lang="ja-JP" altLang="en-US" sz="1100" kern="100" baseline="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 「</a:t>
          </a:r>
          <a:r>
            <a:rPr lang="ja-JP" altLang="en-US" sz="1100" kern="100">
              <a:effectLst/>
              <a:latin typeface="ＭＳ Ｐゴシック" panose="020B0600070205080204" pitchFamily="50" charset="-128"/>
              <a:ea typeface="+mn-ea"/>
              <a:cs typeface="Times New Roman" panose="02020603050405020304" pitchFamily="18" charset="0"/>
            </a:rPr>
            <a:t>かがわ安心飲食店認証制度」の認証店</a:t>
          </a:r>
          <a:endParaRPr lang="ja-JP" sz="110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336742</xdr:colOff>
      <xdr:row>4</xdr:row>
      <xdr:rowOff>76970</xdr:rowOff>
    </xdr:from>
    <xdr:to>
      <xdr:col>19</xdr:col>
      <xdr:colOff>115455</xdr:colOff>
      <xdr:row>8</xdr:row>
      <xdr:rowOff>243929</xdr:rowOff>
    </xdr:to>
    <xdr:sp macro="" textlink="">
      <xdr:nvSpPr>
        <xdr:cNvPr id="38" name="テキスト ボックス 21"/>
        <xdr:cNvSpPr txBox="1"/>
      </xdr:nvSpPr>
      <xdr:spPr>
        <a:xfrm>
          <a:off x="5368636" y="1087197"/>
          <a:ext cx="4021667" cy="551808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>
              <a:effectLst/>
              <a:latin typeface="+mn-lt"/>
              <a:ea typeface="+mn-ea"/>
              <a:cs typeface="+mn-cs"/>
            </a:rPr>
            <a:t>掛け率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 b="1">
              <a:effectLst/>
              <a:latin typeface="+mn-lt"/>
              <a:ea typeface="+mn-ea"/>
              <a:cs typeface="+mn-cs"/>
            </a:rPr>
            <a:t>➋</a:t>
          </a:r>
          <a:r>
            <a:rPr lang="en-US" altLang="ja-JP" sz="1200" b="1">
              <a:effectLst/>
              <a:latin typeface="+mn-lt"/>
              <a:ea typeface="+mn-ea"/>
              <a:cs typeface="+mn-cs"/>
            </a:rPr>
            <a:t> 0.4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aseline="0">
              <a:effectLst/>
              <a:latin typeface="+mn-lt"/>
              <a:ea typeface="+mn-ea"/>
              <a:cs typeface="+mn-cs"/>
            </a:rPr>
            <a:t>「非認証店」又は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800" b="1">
              <a:effectLst/>
              <a:latin typeface="+mn-lt"/>
              <a:ea typeface="+mn-ea"/>
              <a:cs typeface="+mn-cs"/>
            </a:rPr>
            <a:t>チェックボックス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100" baseline="0">
              <a:effectLst/>
              <a:latin typeface="+mn-lt"/>
              <a:ea typeface="+mn-ea"/>
              <a:cs typeface="+mn-cs"/>
            </a:rPr>
            <a:t>午後８時までの時短営業（酒類提供なし）を選択した </a:t>
          </a:r>
          <a:endParaRPr lang="ja-JP" altLang="ja-JP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effectLst/>
              <a:latin typeface="+mn-lt"/>
              <a:ea typeface="+mn-ea"/>
              <a:cs typeface="+mn-cs"/>
            </a:rPr>
            <a:t>　　　　　　　　　　「かがわ安心飲食店認証制度」の認証店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　　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8</xdr:row>
          <xdr:rowOff>44450</xdr:rowOff>
        </xdr:from>
        <xdr:to>
          <xdr:col>6</xdr:col>
          <xdr:colOff>806450</xdr:colOff>
          <xdr:row>8</xdr:row>
          <xdr:rowOff>254000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</xdr:row>
          <xdr:rowOff>44450</xdr:rowOff>
        </xdr:from>
        <xdr:to>
          <xdr:col>12</xdr:col>
          <xdr:colOff>266700</xdr:colOff>
          <xdr:row>8</xdr:row>
          <xdr:rowOff>254000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89648</xdr:rowOff>
    </xdr:from>
    <xdr:to>
      <xdr:col>4</xdr:col>
      <xdr:colOff>832971</xdr:colOff>
      <xdr:row>1</xdr:row>
      <xdr:rowOff>97118</xdr:rowOff>
    </xdr:to>
    <xdr:sp macro="" textlink="">
      <xdr:nvSpPr>
        <xdr:cNvPr id="2" name="テキスト ボックス 21"/>
        <xdr:cNvSpPr txBox="1"/>
      </xdr:nvSpPr>
      <xdr:spPr>
        <a:xfrm>
          <a:off x="112059" y="89648"/>
          <a:ext cx="1330512" cy="286870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９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  <xdr:twoCellAnchor>
    <xdr:from>
      <xdr:col>10</xdr:col>
      <xdr:colOff>50579</xdr:colOff>
      <xdr:row>8</xdr:row>
      <xdr:rowOff>222250</xdr:rowOff>
    </xdr:from>
    <xdr:to>
      <xdr:col>10</xdr:col>
      <xdr:colOff>260988</xdr:colOff>
      <xdr:row>11</xdr:row>
      <xdr:rowOff>75497</xdr:rowOff>
    </xdr:to>
    <xdr:sp macro="" textlink="">
      <xdr:nvSpPr>
        <xdr:cNvPr id="9" name="四角形吹き出し 8"/>
        <xdr:cNvSpPr/>
      </xdr:nvSpPr>
      <xdr:spPr>
        <a:xfrm>
          <a:off x="4670204" y="2190750"/>
          <a:ext cx="210409" cy="519997"/>
        </a:xfrm>
        <a:prstGeom prst="wedgeRectCallout">
          <a:avLst>
            <a:gd name="adj1" fmla="val -64432"/>
            <a:gd name="adj2" fmla="val -430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360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直島町</a:t>
          </a:r>
        </a:p>
      </xdr:txBody>
    </xdr:sp>
    <xdr:clientData/>
  </xdr:twoCellAnchor>
  <xdr:oneCellAnchor>
    <xdr:from>
      <xdr:col>1</xdr:col>
      <xdr:colOff>6254</xdr:colOff>
      <xdr:row>27</xdr:row>
      <xdr:rowOff>40265</xdr:rowOff>
    </xdr:from>
    <xdr:ext cx="421072" cy="760184"/>
    <xdr:sp macro="" textlink="">
      <xdr:nvSpPr>
        <xdr:cNvPr id="10" name="四角形吹き出し 9"/>
        <xdr:cNvSpPr/>
      </xdr:nvSpPr>
      <xdr:spPr>
        <a:xfrm>
          <a:off x="126519" y="5909204"/>
          <a:ext cx="421072" cy="760184"/>
        </a:xfrm>
        <a:prstGeom prst="wedgeRectCallout">
          <a:avLst>
            <a:gd name="adj1" fmla="val 59361"/>
            <a:gd name="adj2" fmla="val 49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rIns="18000" bIns="18000" rtlCol="0" anchor="t">
          <a:spAutoFit/>
        </a:bodyPr>
        <a:lstStyle/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まんのう町、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直島町 以外</a:t>
          </a:r>
        </a:p>
      </xdr:txBody>
    </xdr:sp>
    <xdr:clientData/>
  </xdr:oneCellAnchor>
  <xdr:twoCellAnchor>
    <xdr:from>
      <xdr:col>1</xdr:col>
      <xdr:colOff>84154</xdr:colOff>
      <xdr:row>32</xdr:row>
      <xdr:rowOff>8143</xdr:rowOff>
    </xdr:from>
    <xdr:to>
      <xdr:col>3</xdr:col>
      <xdr:colOff>101493</xdr:colOff>
      <xdr:row>35</xdr:row>
      <xdr:rowOff>8917</xdr:rowOff>
    </xdr:to>
    <xdr:sp macro="" textlink="">
      <xdr:nvSpPr>
        <xdr:cNvPr id="11" name="四角形吹き出し 10"/>
        <xdr:cNvSpPr/>
      </xdr:nvSpPr>
      <xdr:spPr>
        <a:xfrm>
          <a:off x="203217" y="6977268"/>
          <a:ext cx="326901" cy="619899"/>
        </a:xfrm>
        <a:prstGeom prst="wedgeRectCallout">
          <a:avLst>
            <a:gd name="adj1" fmla="val 60159"/>
            <a:gd name="adj2" fmla="val -1700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1800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まんのう町</a:t>
          </a:r>
        </a:p>
      </xdr:txBody>
    </xdr:sp>
    <xdr:clientData/>
  </xdr:twoCellAnchor>
  <xdr:twoCellAnchor>
    <xdr:from>
      <xdr:col>19</xdr:col>
      <xdr:colOff>259184</xdr:colOff>
      <xdr:row>0</xdr:row>
      <xdr:rowOff>123112</xdr:rowOff>
    </xdr:from>
    <xdr:to>
      <xdr:col>24</xdr:col>
      <xdr:colOff>370658</xdr:colOff>
      <xdr:row>1</xdr:row>
      <xdr:rowOff>203147</xdr:rowOff>
    </xdr:to>
    <xdr:sp macro="" textlink="">
      <xdr:nvSpPr>
        <xdr:cNvPr id="6" name="テキスト ボックス 5"/>
        <xdr:cNvSpPr txBox="1"/>
      </xdr:nvSpPr>
      <xdr:spPr>
        <a:xfrm>
          <a:off x="8812245" y="123112"/>
          <a:ext cx="182856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401735</xdr:colOff>
      <xdr:row>1</xdr:row>
      <xdr:rowOff>181428</xdr:rowOff>
    </xdr:from>
    <xdr:to>
      <xdr:col>20</xdr:col>
      <xdr:colOff>495809</xdr:colOff>
      <xdr:row>1</xdr:row>
      <xdr:rowOff>328419</xdr:rowOff>
    </xdr:to>
    <xdr:sp macro="" textlink="">
      <xdr:nvSpPr>
        <xdr:cNvPr id="7" name="下矢印 6"/>
        <xdr:cNvSpPr/>
      </xdr:nvSpPr>
      <xdr:spPr>
        <a:xfrm>
          <a:off x="9363011" y="460050"/>
          <a:ext cx="94074" cy="14699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59532</xdr:rowOff>
    </xdr:from>
    <xdr:to>
      <xdr:col>4</xdr:col>
      <xdr:colOff>830870</xdr:colOff>
      <xdr:row>1</xdr:row>
      <xdr:rowOff>74005</xdr:rowOff>
    </xdr:to>
    <xdr:sp macro="" textlink="">
      <xdr:nvSpPr>
        <xdr:cNvPr id="2" name="テキスト ボックス 21"/>
        <xdr:cNvSpPr txBox="1"/>
      </xdr:nvSpPr>
      <xdr:spPr>
        <a:xfrm>
          <a:off x="95251" y="59532"/>
          <a:ext cx="1326169" cy="293873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９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endParaRPr lang="en-US" alt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43476</xdr:colOff>
      <xdr:row>7</xdr:row>
      <xdr:rowOff>220579</xdr:rowOff>
    </xdr:from>
    <xdr:to>
      <xdr:col>10</xdr:col>
      <xdr:colOff>253885</xdr:colOff>
      <xdr:row>10</xdr:row>
      <xdr:rowOff>85523</xdr:rowOff>
    </xdr:to>
    <xdr:sp macro="" textlink="">
      <xdr:nvSpPr>
        <xdr:cNvPr id="9" name="四角形吹き出し 8"/>
        <xdr:cNvSpPr/>
      </xdr:nvSpPr>
      <xdr:spPr>
        <a:xfrm>
          <a:off x="4769213" y="2038684"/>
          <a:ext cx="210409" cy="519997"/>
        </a:xfrm>
        <a:prstGeom prst="wedgeRectCallout">
          <a:avLst>
            <a:gd name="adj1" fmla="val -64432"/>
            <a:gd name="adj2" fmla="val -430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360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直島町</a:t>
          </a:r>
        </a:p>
      </xdr:txBody>
    </xdr:sp>
    <xdr:clientData/>
  </xdr:twoCellAnchor>
  <xdr:oneCellAnchor>
    <xdr:from>
      <xdr:col>2</xdr:col>
      <xdr:colOff>28752</xdr:colOff>
      <xdr:row>26</xdr:row>
      <xdr:rowOff>25667</xdr:rowOff>
    </xdr:from>
    <xdr:ext cx="421072" cy="760184"/>
    <xdr:sp macro="" textlink="">
      <xdr:nvSpPr>
        <xdr:cNvPr id="10" name="四角形吹き出し 9"/>
        <xdr:cNvSpPr/>
      </xdr:nvSpPr>
      <xdr:spPr>
        <a:xfrm>
          <a:off x="234193" y="5787358"/>
          <a:ext cx="421072" cy="760184"/>
        </a:xfrm>
        <a:prstGeom prst="wedgeRectCallout">
          <a:avLst>
            <a:gd name="adj1" fmla="val 59361"/>
            <a:gd name="adj2" fmla="val 49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rIns="18000" bIns="18000" rtlCol="0" anchor="t">
          <a:spAutoFit/>
        </a:bodyPr>
        <a:lstStyle/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まんのう町、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直島町 以外</a:t>
          </a:r>
        </a:p>
      </xdr:txBody>
    </xdr:sp>
    <xdr:clientData/>
  </xdr:oneCellAnchor>
  <xdr:twoCellAnchor>
    <xdr:from>
      <xdr:col>2</xdr:col>
      <xdr:colOff>111038</xdr:colOff>
      <xdr:row>31</xdr:row>
      <xdr:rowOff>5291</xdr:rowOff>
    </xdr:from>
    <xdr:to>
      <xdr:col>3</xdr:col>
      <xdr:colOff>110412</xdr:colOff>
      <xdr:row>34</xdr:row>
      <xdr:rowOff>23612</xdr:rowOff>
    </xdr:to>
    <xdr:sp macro="" textlink="">
      <xdr:nvSpPr>
        <xdr:cNvPr id="11" name="四角形吹き出し 10"/>
        <xdr:cNvSpPr/>
      </xdr:nvSpPr>
      <xdr:spPr>
        <a:xfrm>
          <a:off x="316479" y="6794188"/>
          <a:ext cx="330882" cy="634645"/>
        </a:xfrm>
        <a:prstGeom prst="wedgeRectCallout">
          <a:avLst>
            <a:gd name="adj1" fmla="val 60159"/>
            <a:gd name="adj2" fmla="val -1700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18000" tIns="36000" rIns="18000" bIns="1800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綾川町、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まんのう町</a:t>
          </a:r>
        </a:p>
      </xdr:txBody>
    </xdr:sp>
    <xdr:clientData/>
  </xdr:twoCellAnchor>
  <xdr:twoCellAnchor>
    <xdr:from>
      <xdr:col>17</xdr:col>
      <xdr:colOff>1532758</xdr:colOff>
      <xdr:row>3</xdr:row>
      <xdr:rowOff>80287</xdr:rowOff>
    </xdr:from>
    <xdr:to>
      <xdr:col>23</xdr:col>
      <xdr:colOff>405289</xdr:colOff>
      <xdr:row>5</xdr:row>
      <xdr:rowOff>8311</xdr:rowOff>
    </xdr:to>
    <xdr:sp macro="" textlink="">
      <xdr:nvSpPr>
        <xdr:cNvPr id="6" name="テキスト ボックス 5"/>
        <xdr:cNvSpPr txBox="1"/>
      </xdr:nvSpPr>
      <xdr:spPr>
        <a:xfrm>
          <a:off x="8744022" y="1036436"/>
          <a:ext cx="182856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321149</xdr:colOff>
      <xdr:row>4</xdr:row>
      <xdr:rowOff>277356</xdr:rowOff>
    </xdr:from>
    <xdr:to>
      <xdr:col>18</xdr:col>
      <xdr:colOff>415223</xdr:colOff>
      <xdr:row>5</xdr:row>
      <xdr:rowOff>110496</xdr:rowOff>
    </xdr:to>
    <xdr:sp macro="" textlink="">
      <xdr:nvSpPr>
        <xdr:cNvPr id="7" name="下矢印 6"/>
        <xdr:cNvSpPr/>
      </xdr:nvSpPr>
      <xdr:spPr>
        <a:xfrm>
          <a:off x="9364425" y="1350287"/>
          <a:ext cx="94074" cy="14699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189770</xdr:colOff>
      <xdr:row>40</xdr:row>
      <xdr:rowOff>138678</xdr:rowOff>
    </xdr:from>
    <xdr:to>
      <xdr:col>8</xdr:col>
      <xdr:colOff>387650</xdr:colOff>
      <xdr:row>42</xdr:row>
      <xdr:rowOff>88599</xdr:rowOff>
    </xdr:to>
    <xdr:sp macro="" textlink="">
      <xdr:nvSpPr>
        <xdr:cNvPr id="8" name="テキスト ボックス 7"/>
        <xdr:cNvSpPr txBox="1"/>
      </xdr:nvSpPr>
      <xdr:spPr>
        <a:xfrm>
          <a:off x="2021781" y="8619942"/>
          <a:ext cx="181092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569311</xdr:colOff>
      <xdr:row>51</xdr:row>
      <xdr:rowOff>80287</xdr:rowOff>
    </xdr:from>
    <xdr:to>
      <xdr:col>9</xdr:col>
      <xdr:colOff>358455</xdr:colOff>
      <xdr:row>52</xdr:row>
      <xdr:rowOff>234576</xdr:rowOff>
    </xdr:to>
    <xdr:sp macro="" textlink="">
      <xdr:nvSpPr>
        <xdr:cNvPr id="12" name="テキスト ボックス 11"/>
        <xdr:cNvSpPr txBox="1"/>
      </xdr:nvSpPr>
      <xdr:spPr>
        <a:xfrm>
          <a:off x="2401322" y="10809597"/>
          <a:ext cx="1810926" cy="3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で計算をする場合は、右上の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対象区域を選択してください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46015</xdr:colOff>
      <xdr:row>13</xdr:row>
      <xdr:rowOff>110435</xdr:rowOff>
    </xdr:from>
    <xdr:to>
      <xdr:col>21</xdr:col>
      <xdr:colOff>71752</xdr:colOff>
      <xdr:row>18</xdr:row>
      <xdr:rowOff>163625</xdr:rowOff>
    </xdr:to>
    <xdr:sp macro="" textlink="">
      <xdr:nvSpPr>
        <xdr:cNvPr id="28" name="テキスト ボックス 27"/>
        <xdr:cNvSpPr txBox="1"/>
      </xdr:nvSpPr>
      <xdr:spPr>
        <a:xfrm>
          <a:off x="5172029" y="3193406"/>
          <a:ext cx="4940085" cy="1065509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/>
          <a:endParaRPr lang="en-US" altLang="ja-JP" sz="120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午後９時までの時短営業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lang="ja-JP" altLang="ja-JP" sz="100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aseline="0">
              <a:effectLst/>
              <a:latin typeface="+mn-lt"/>
              <a:ea typeface="+mn-ea"/>
              <a:cs typeface="+mn-cs"/>
            </a:rPr>
            <a:t>（酒類提供は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午後８時まで）を選択した</a:t>
          </a:r>
          <a:endParaRPr lang="ja-JP" altLang="ja-JP" sz="1000">
            <a:effectLst/>
          </a:endParaRPr>
        </a:p>
        <a:p>
          <a:r>
            <a:rPr lang="ja-JP" altLang="ja-JP" sz="100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aseline="0"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かがわ安心飲食店認証制度」の認証店</a:t>
          </a:r>
          <a:endParaRPr lang="ja-JP" altLang="ja-JP" sz="10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sz="110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763842</xdr:colOff>
      <xdr:row>14</xdr:row>
      <xdr:rowOff>138044</xdr:rowOff>
    </xdr:from>
    <xdr:to>
      <xdr:col>23</xdr:col>
      <xdr:colOff>102170</xdr:colOff>
      <xdr:row>18</xdr:row>
      <xdr:rowOff>189206</xdr:rowOff>
    </xdr:to>
    <xdr:sp macro="" textlink="">
      <xdr:nvSpPr>
        <xdr:cNvPr id="29" name="テキスト ボックス 28"/>
        <xdr:cNvSpPr txBox="1"/>
      </xdr:nvSpPr>
      <xdr:spPr>
        <a:xfrm>
          <a:off x="8043335" y="3423479"/>
          <a:ext cx="2292458" cy="861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★下記の「選択方式」の中から、</a:t>
          </a:r>
          <a:endParaRPr kumimoji="1" lang="en-US" altLang="ja-JP" sz="1050"/>
        </a:p>
        <a:p>
          <a:r>
            <a:rPr kumimoji="1" lang="ja-JP" altLang="en-US" sz="1050"/>
            <a:t>　 最も高い金額にチェック</a:t>
          </a:r>
          <a:endParaRPr kumimoji="1" lang="en-US" altLang="ja-JP" sz="1050"/>
        </a:p>
        <a:p>
          <a:r>
            <a:rPr kumimoji="1" lang="ja-JP" altLang="en-US" sz="1050"/>
            <a:t>★「上限額」についても、該当する  </a:t>
          </a:r>
          <a:endParaRPr kumimoji="1" lang="en-US" altLang="ja-JP" sz="1050"/>
        </a:p>
        <a:p>
          <a:r>
            <a:rPr kumimoji="1" lang="ja-JP" altLang="en-US" sz="1050"/>
            <a:t>　</a:t>
          </a:r>
          <a:r>
            <a:rPr kumimoji="1" lang="ja-JP" altLang="en-US" sz="1050" baseline="0"/>
            <a:t>  </a:t>
          </a:r>
          <a:r>
            <a:rPr kumimoji="1" lang="ja-JP" altLang="en-US" sz="1050"/>
            <a:t>金額にチェック</a:t>
          </a:r>
        </a:p>
      </xdr:txBody>
    </xdr:sp>
    <xdr:clientData/>
  </xdr:twoCellAnchor>
  <xdr:twoCellAnchor>
    <xdr:from>
      <xdr:col>11</xdr:col>
      <xdr:colOff>73624</xdr:colOff>
      <xdr:row>21</xdr:row>
      <xdr:rowOff>174855</xdr:rowOff>
    </xdr:from>
    <xdr:to>
      <xdr:col>21</xdr:col>
      <xdr:colOff>88598</xdr:colOff>
      <xdr:row>26</xdr:row>
      <xdr:rowOff>141944</xdr:rowOff>
    </xdr:to>
    <xdr:sp macro="" textlink="">
      <xdr:nvSpPr>
        <xdr:cNvPr id="35" name="テキスト ボックス 21"/>
        <xdr:cNvSpPr txBox="1"/>
      </xdr:nvSpPr>
      <xdr:spPr>
        <a:xfrm>
          <a:off x="5199638" y="4877536"/>
          <a:ext cx="4929322" cy="979408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/>
          <a:r>
            <a:rPr lang="ja-JP" altLang="ja-JP" sz="1100" b="1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aseline="0">
              <a:effectLst/>
              <a:latin typeface="+mn-lt"/>
              <a:ea typeface="+mn-ea"/>
              <a:cs typeface="+mn-cs"/>
            </a:rPr>
            <a:t> </a:t>
          </a:r>
          <a:endParaRPr lang="en-US" altLang="ja-JP" sz="1100" baseline="0"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ja-JP" sz="1100" baseline="0">
              <a:effectLst/>
              <a:latin typeface="+mn-lt"/>
              <a:ea typeface="+mn-ea"/>
              <a:cs typeface="+mn-cs"/>
            </a:rPr>
            <a:t>「非認証店」又は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　　</a:t>
          </a:r>
          <a:endParaRPr lang="ja-JP" altLang="ja-JP" sz="1050">
            <a:effectLst/>
          </a:endParaRPr>
        </a:p>
        <a:p>
          <a:pPr eaLnBrk="1" fontAlgn="auto" latinLnBrk="0" hangingPunct="1"/>
          <a:r>
            <a:rPr lang="ja-JP" altLang="ja-JP" sz="1100" baseline="0">
              <a:effectLst/>
              <a:latin typeface="+mn-lt"/>
              <a:ea typeface="+mn-ea"/>
              <a:cs typeface="+mn-cs"/>
            </a:rPr>
            <a:t>午後８時までの時短営業（酒類提供なし）を選択した </a:t>
          </a:r>
          <a:endParaRPr lang="ja-JP" altLang="ja-JP" sz="1050">
            <a:effectLst/>
          </a:endParaRPr>
        </a:p>
        <a:p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「かがわ安心飲食店認証制度」の認証店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　　</a:t>
          </a:r>
          <a:endParaRPr lang="ja-JP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984710</xdr:colOff>
      <xdr:row>23</xdr:row>
      <xdr:rowOff>138043</xdr:rowOff>
    </xdr:from>
    <xdr:to>
      <xdr:col>23</xdr:col>
      <xdr:colOff>43208</xdr:colOff>
      <xdr:row>26</xdr:row>
      <xdr:rowOff>14975</xdr:rowOff>
    </xdr:to>
    <xdr:sp macro="" textlink="">
      <xdr:nvSpPr>
        <xdr:cNvPr id="37" name="テキスト ボックス 36"/>
        <xdr:cNvSpPr txBox="1"/>
      </xdr:nvSpPr>
      <xdr:spPr>
        <a:xfrm>
          <a:off x="8264203" y="5245652"/>
          <a:ext cx="2012628" cy="484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★下記の「選択方式」の中から、</a:t>
          </a:r>
          <a:endParaRPr kumimoji="1" lang="en-US" altLang="ja-JP" sz="1050"/>
        </a:p>
        <a:p>
          <a:r>
            <a:rPr kumimoji="1" lang="ja-JP" altLang="en-US" sz="1050"/>
            <a:t>　 最も高い金額にチェック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2:V116"/>
  <sheetViews>
    <sheetView showGridLines="0" tabSelected="1" view="pageBreakPreview" topLeftCell="A43" zoomScale="115" zoomScaleNormal="75" zoomScaleSheetLayoutView="115" workbookViewId="0">
      <selection activeCell="S15" sqref="S15"/>
    </sheetView>
  </sheetViews>
  <sheetFormatPr defaultColWidth="9" defaultRowHeight="13.5" x14ac:dyDescent="0.3"/>
  <cols>
    <col min="1" max="1" width="1.58203125" style="1" customWidth="1"/>
    <col min="2" max="2" width="1.33203125" style="1" customWidth="1"/>
    <col min="3" max="3" width="9.08203125" style="1" customWidth="1"/>
    <col min="4" max="4" width="4.08203125" style="1" customWidth="1"/>
    <col min="5" max="5" width="10.58203125" style="1" customWidth="1"/>
    <col min="6" max="6" width="9.08203125" style="1" customWidth="1"/>
    <col min="7" max="7" width="4.08203125" style="1" customWidth="1"/>
    <col min="8" max="8" width="10.58203125" style="1" customWidth="1"/>
    <col min="9" max="9" width="7.08203125" style="11" customWidth="1"/>
    <col min="10" max="10" width="9.08203125" style="1" customWidth="1"/>
    <col min="11" max="11" width="4.08203125" style="1" customWidth="1"/>
    <col min="12" max="12" width="10.58203125" style="1" customWidth="1"/>
    <col min="13" max="13" width="9.08203125" style="1" customWidth="1"/>
    <col min="14" max="14" width="4.08203125" style="1" customWidth="1"/>
    <col min="15" max="15" width="10.58203125" style="1" customWidth="1"/>
    <col min="16" max="16" width="1.08203125" style="11" customWidth="1"/>
    <col min="17" max="17" width="1.83203125" style="11" customWidth="1"/>
    <col min="18" max="18" width="0.75" style="1" customWidth="1"/>
    <col min="19" max="19" width="11.75" style="1" customWidth="1"/>
    <col min="20" max="20" width="0.58203125" style="16" customWidth="1"/>
    <col min="21" max="16384" width="9" style="1"/>
  </cols>
  <sheetData>
    <row r="2" spans="1:22" ht="26.5" x14ac:dyDescent="0.3">
      <c r="A2" s="565" t="s">
        <v>16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22" ht="22" x14ac:dyDescent="0.3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22" ht="27" customHeight="1" x14ac:dyDescent="0.3">
      <c r="A4" s="74"/>
      <c r="B4" s="74"/>
      <c r="C4" s="566" t="s">
        <v>17</v>
      </c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74"/>
      <c r="Q4" s="74"/>
      <c r="R4" s="11"/>
      <c r="S4" s="11"/>
      <c r="T4" s="1"/>
      <c r="V4" s="16"/>
    </row>
    <row r="5" spans="1:22" ht="26.5" customHeight="1" x14ac:dyDescent="0.3">
      <c r="A5" s="74"/>
      <c r="B5" s="74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74"/>
      <c r="Q5" s="74"/>
      <c r="R5" s="11"/>
    </row>
    <row r="6" spans="1:22" ht="9" customHeight="1" x14ac:dyDescent="0.3">
      <c r="A6" s="74"/>
      <c r="B6" s="74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74"/>
      <c r="Q6" s="74"/>
    </row>
    <row r="7" spans="1:22" ht="25" customHeight="1" x14ac:dyDescent="0.3">
      <c r="A7" s="74"/>
      <c r="B7" s="74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96"/>
      <c r="Q7" s="97"/>
      <c r="R7" s="2"/>
      <c r="S7" s="2"/>
      <c r="T7" s="15"/>
    </row>
    <row r="8" spans="1:22" ht="9" customHeight="1" x14ac:dyDescent="0.3">
      <c r="A8" s="74"/>
      <c r="B8" s="74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96"/>
      <c r="Q8" s="97"/>
      <c r="R8" s="2"/>
      <c r="S8" s="2"/>
      <c r="T8" s="15"/>
    </row>
    <row r="9" spans="1:22" s="6" customFormat="1" ht="20.149999999999999" customHeight="1" x14ac:dyDescent="0.3">
      <c r="A9" s="98"/>
      <c r="B9" s="9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255"/>
      <c r="Q9" s="73"/>
      <c r="R9" s="5"/>
      <c r="S9" s="5"/>
      <c r="T9" s="22"/>
    </row>
    <row r="10" spans="1:22" s="19" customFormat="1" ht="20.149999999999999" customHeight="1" x14ac:dyDescent="0.3">
      <c r="A10" s="98"/>
      <c r="B10" s="9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255"/>
      <c r="Q10" s="73"/>
      <c r="R10" s="20"/>
      <c r="S10" s="20"/>
      <c r="T10" s="21"/>
    </row>
    <row r="11" spans="1:22" s="8" customFormat="1" x14ac:dyDescent="0.3">
      <c r="A11" s="99"/>
      <c r="B11" s="99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28"/>
      <c r="Q11" s="36"/>
      <c r="R11" s="7"/>
      <c r="S11" s="7"/>
      <c r="T11" s="17"/>
    </row>
    <row r="12" spans="1:22" x14ac:dyDescent="0.3">
      <c r="A12" s="74"/>
      <c r="B12" s="74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77"/>
      <c r="Q12" s="74"/>
      <c r="T12" s="17">
        <v>43092</v>
      </c>
    </row>
    <row r="13" spans="1:22" s="8" customFormat="1" x14ac:dyDescent="0.3">
      <c r="A13" s="99"/>
      <c r="B13" s="99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28"/>
      <c r="Q13" s="36"/>
      <c r="R13" s="7"/>
      <c r="S13" s="7"/>
      <c r="T13" s="17"/>
    </row>
    <row r="14" spans="1:22" s="8" customFormat="1" x14ac:dyDescent="0.3">
      <c r="A14" s="99"/>
      <c r="B14" s="99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28"/>
      <c r="Q14" s="36"/>
      <c r="R14" s="7"/>
      <c r="S14" s="7"/>
      <c r="T14" s="17"/>
    </row>
    <row r="15" spans="1:22" s="27" customFormat="1" x14ac:dyDescent="0.3">
      <c r="A15" s="99"/>
      <c r="B15" s="99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28"/>
      <c r="Q15" s="36"/>
      <c r="R15" s="29"/>
      <c r="S15" s="29"/>
      <c r="T15" s="30"/>
    </row>
    <row r="16" spans="1:22" s="8" customFormat="1" x14ac:dyDescent="0.3">
      <c r="A16" s="99"/>
      <c r="B16" s="99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28"/>
      <c r="Q16" s="36"/>
      <c r="R16" s="7"/>
      <c r="S16" s="7"/>
      <c r="T16" s="17">
        <v>43062</v>
      </c>
    </row>
    <row r="17" spans="1:20" x14ac:dyDescent="0.3">
      <c r="A17" s="74"/>
      <c r="B17" s="74"/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74"/>
      <c r="Q17" s="74"/>
      <c r="T17" s="17">
        <v>43108</v>
      </c>
    </row>
    <row r="18" spans="1:20" x14ac:dyDescent="0.3">
      <c r="A18" s="74"/>
      <c r="B18" s="74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74"/>
      <c r="Q18" s="74"/>
      <c r="T18" s="17"/>
    </row>
    <row r="19" spans="1:20" x14ac:dyDescent="0.3">
      <c r="A19" s="74"/>
      <c r="B19" s="74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74"/>
      <c r="Q19" s="74"/>
      <c r="T19" s="17">
        <v>43142</v>
      </c>
    </row>
    <row r="20" spans="1:20" x14ac:dyDescent="0.3">
      <c r="A20" s="74"/>
      <c r="B20" s="74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74"/>
      <c r="Q20" s="74"/>
      <c r="T20" s="17"/>
    </row>
    <row r="21" spans="1:20" x14ac:dyDescent="0.3">
      <c r="A21" s="74"/>
      <c r="B21" s="74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74"/>
      <c r="Q21" s="74"/>
      <c r="T21" s="17">
        <v>43143</v>
      </c>
    </row>
    <row r="22" spans="1:20" x14ac:dyDescent="0.3">
      <c r="A22" s="74"/>
      <c r="B22" s="74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74"/>
      <c r="Q22" s="74"/>
      <c r="T22" s="17"/>
    </row>
    <row r="23" spans="1:20" x14ac:dyDescent="0.3">
      <c r="A23" s="74"/>
      <c r="B23" s="74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74"/>
      <c r="Q23" s="74"/>
      <c r="T23" s="17"/>
    </row>
    <row r="24" spans="1:20" x14ac:dyDescent="0.3">
      <c r="A24" s="74"/>
      <c r="B24" s="74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77"/>
      <c r="Q24" s="74"/>
      <c r="T24" s="17">
        <v>43092</v>
      </c>
    </row>
    <row r="25" spans="1:20" s="8" customFormat="1" x14ac:dyDescent="0.3">
      <c r="A25" s="99"/>
      <c r="B25" s="99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28"/>
      <c r="Q25" s="36"/>
      <c r="R25" s="7"/>
      <c r="S25" s="7"/>
      <c r="T25" s="17"/>
    </row>
    <row r="26" spans="1:20" s="8" customFormat="1" x14ac:dyDescent="0.3">
      <c r="A26" s="99"/>
      <c r="B26" s="99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28"/>
      <c r="Q26" s="36"/>
      <c r="R26" s="7"/>
      <c r="S26" s="7"/>
      <c r="T26" s="17"/>
    </row>
    <row r="27" spans="1:20" x14ac:dyDescent="0.3">
      <c r="A27" s="74"/>
      <c r="B27" s="74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77"/>
      <c r="Q27" s="74"/>
      <c r="T27" s="17"/>
    </row>
    <row r="28" spans="1:20" s="8" customFormat="1" x14ac:dyDescent="0.3">
      <c r="A28" s="99"/>
      <c r="B28" s="99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28"/>
      <c r="Q28" s="36"/>
      <c r="R28" s="7"/>
      <c r="S28" s="7"/>
      <c r="T28" s="17">
        <v>43062</v>
      </c>
    </row>
    <row r="29" spans="1:20" x14ac:dyDescent="0.3">
      <c r="A29" s="74"/>
      <c r="B29" s="74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74"/>
      <c r="Q29" s="74"/>
      <c r="T29" s="17">
        <v>43108</v>
      </c>
    </row>
    <row r="30" spans="1:20" x14ac:dyDescent="0.3">
      <c r="A30" s="74"/>
      <c r="B30" s="74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74"/>
      <c r="Q30" s="74"/>
      <c r="T30" s="17"/>
    </row>
    <row r="31" spans="1:20" x14ac:dyDescent="0.3">
      <c r="A31" s="74"/>
      <c r="B31" s="74"/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74"/>
      <c r="Q31" s="74"/>
      <c r="T31" s="17">
        <v>43142</v>
      </c>
    </row>
    <row r="32" spans="1:20" x14ac:dyDescent="0.3">
      <c r="A32" s="74"/>
      <c r="B32" s="74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74"/>
      <c r="Q32" s="74"/>
      <c r="T32" s="17">
        <v>43180</v>
      </c>
    </row>
    <row r="33" spans="1:20" x14ac:dyDescent="0.3">
      <c r="A33" s="74"/>
      <c r="B33" s="74"/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 s="74"/>
      <c r="Q33" s="74"/>
      <c r="T33" s="17">
        <v>43219</v>
      </c>
    </row>
    <row r="34" spans="1:20" x14ac:dyDescent="0.3">
      <c r="A34" s="74"/>
      <c r="B34" s="74"/>
      <c r="C34" s="568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74"/>
      <c r="Q34" s="74"/>
      <c r="T34" s="17">
        <v>43220</v>
      </c>
    </row>
    <row r="35" spans="1:20" x14ac:dyDescent="0.3"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T35" s="17">
        <v>43223</v>
      </c>
    </row>
    <row r="36" spans="1:20" x14ac:dyDescent="0.3">
      <c r="C36" s="568"/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T36" s="17">
        <v>43224</v>
      </c>
    </row>
    <row r="37" spans="1:20" x14ac:dyDescent="0.3"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T37" s="17">
        <v>43225</v>
      </c>
    </row>
    <row r="38" spans="1:20" x14ac:dyDescent="0.3"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T38" s="17">
        <v>43297</v>
      </c>
    </row>
    <row r="39" spans="1:20" x14ac:dyDescent="0.3"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S39" s="218"/>
      <c r="T39" s="17">
        <v>43323</v>
      </c>
    </row>
    <row r="40" spans="1:20" x14ac:dyDescent="0.3"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T40" s="17">
        <v>43360</v>
      </c>
    </row>
    <row r="41" spans="1:20" x14ac:dyDescent="0.3">
      <c r="C41" s="568"/>
      <c r="D41" s="568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T41" s="17">
        <v>43366</v>
      </c>
    </row>
    <row r="42" spans="1:20" x14ac:dyDescent="0.3"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T42" s="17">
        <v>43367</v>
      </c>
    </row>
    <row r="43" spans="1:20" x14ac:dyDescent="0.3"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T43" s="17">
        <v>43381</v>
      </c>
    </row>
    <row r="44" spans="1:20" x14ac:dyDescent="0.3"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T44" s="17">
        <v>43407</v>
      </c>
    </row>
    <row r="45" spans="1:20" x14ac:dyDescent="0.3"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T45" s="17">
        <v>43427</v>
      </c>
    </row>
    <row r="46" spans="1:20" x14ac:dyDescent="0.3"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T46" s="17">
        <v>43457</v>
      </c>
    </row>
    <row r="47" spans="1:20" x14ac:dyDescent="0.3"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T47" s="17">
        <v>43458</v>
      </c>
    </row>
    <row r="48" spans="1:20" x14ac:dyDescent="0.3"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T48" s="18">
        <v>43466</v>
      </c>
    </row>
    <row r="49" spans="3:20" x14ac:dyDescent="0.3"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T49" s="18">
        <v>43479</v>
      </c>
    </row>
    <row r="50" spans="3:20" x14ac:dyDescent="0.3"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T50" s="18">
        <v>43507</v>
      </c>
    </row>
    <row r="51" spans="3:20" x14ac:dyDescent="0.3"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T51" s="18">
        <v>43545</v>
      </c>
    </row>
    <row r="52" spans="3:20" x14ac:dyDescent="0.3"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T52" s="18">
        <v>43584</v>
      </c>
    </row>
    <row r="53" spans="3:20" x14ac:dyDescent="0.3">
      <c r="C53" s="568"/>
      <c r="D53" s="568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T53" s="18">
        <v>43588</v>
      </c>
    </row>
    <row r="54" spans="3:20" x14ac:dyDescent="0.3"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T54" s="18">
        <v>43589</v>
      </c>
    </row>
    <row r="55" spans="3:20" x14ac:dyDescent="0.3">
      <c r="C55" s="568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T55" s="18">
        <v>43590</v>
      </c>
    </row>
    <row r="56" spans="3:20" x14ac:dyDescent="0.3"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8"/>
      <c r="T56" s="18">
        <v>43591</v>
      </c>
    </row>
    <row r="57" spans="3:20" x14ac:dyDescent="0.3"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T57" s="18">
        <v>43661</v>
      </c>
    </row>
    <row r="58" spans="3:20" x14ac:dyDescent="0.3"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T58" s="18">
        <v>43688</v>
      </c>
    </row>
    <row r="59" spans="3:20" x14ac:dyDescent="0.3">
      <c r="C59" s="568"/>
      <c r="D59" s="568"/>
      <c r="E59" s="568"/>
      <c r="F59" s="568"/>
      <c r="G59" s="568"/>
      <c r="H59" s="568"/>
      <c r="I59" s="568"/>
      <c r="J59" s="568"/>
      <c r="K59" s="568"/>
      <c r="L59" s="568"/>
      <c r="M59" s="568"/>
      <c r="N59" s="568"/>
      <c r="O59" s="568"/>
      <c r="T59" s="18">
        <v>43689</v>
      </c>
    </row>
    <row r="60" spans="3:20" x14ac:dyDescent="0.3">
      <c r="C60" s="568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T60" s="18">
        <v>43724</v>
      </c>
    </row>
    <row r="61" spans="3:20" ht="13.5" customHeight="1" x14ac:dyDescent="0.3">
      <c r="C61" s="568"/>
      <c r="D61" s="568"/>
      <c r="E61" s="568"/>
      <c r="F61" s="568"/>
      <c r="G61" s="568"/>
      <c r="H61" s="568"/>
      <c r="I61" s="568"/>
      <c r="J61" s="568"/>
      <c r="K61" s="568"/>
      <c r="L61" s="568"/>
      <c r="M61" s="568"/>
      <c r="N61" s="568"/>
      <c r="O61" s="568"/>
      <c r="T61" s="18">
        <v>43731</v>
      </c>
    </row>
    <row r="62" spans="3:20" x14ac:dyDescent="0.3">
      <c r="C62" s="568"/>
      <c r="D62" s="568"/>
      <c r="E62" s="568"/>
      <c r="F62" s="568"/>
      <c r="G62" s="568"/>
      <c r="H62" s="568"/>
      <c r="I62" s="568"/>
      <c r="J62" s="568"/>
      <c r="K62" s="568"/>
      <c r="L62" s="568"/>
      <c r="M62" s="568"/>
      <c r="N62" s="568"/>
      <c r="O62" s="568"/>
      <c r="T62" s="18">
        <v>43752</v>
      </c>
    </row>
    <row r="63" spans="3:20" ht="15" customHeight="1" x14ac:dyDescent="0.3">
      <c r="C63" s="568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568"/>
      <c r="O63" s="568"/>
      <c r="T63" s="18">
        <v>43772</v>
      </c>
    </row>
    <row r="64" spans="3:20" x14ac:dyDescent="0.3"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T64" s="18">
        <v>43773</v>
      </c>
    </row>
    <row r="65" spans="3:20" x14ac:dyDescent="0.3">
      <c r="C65" s="568"/>
      <c r="D65" s="568"/>
      <c r="E65" s="568"/>
      <c r="F65" s="568"/>
      <c r="G65" s="568"/>
      <c r="H65" s="568"/>
      <c r="I65" s="568"/>
      <c r="J65" s="568"/>
      <c r="K65" s="568"/>
      <c r="L65" s="568"/>
      <c r="M65" s="568"/>
      <c r="N65" s="568"/>
      <c r="O65" s="568"/>
      <c r="T65" s="18">
        <v>43792</v>
      </c>
    </row>
    <row r="66" spans="3:20" x14ac:dyDescent="0.3">
      <c r="T66" s="18">
        <v>43822</v>
      </c>
    </row>
    <row r="67" spans="3:20" x14ac:dyDescent="0.3">
      <c r="T67" s="18">
        <v>43831</v>
      </c>
    </row>
    <row r="68" spans="3:20" x14ac:dyDescent="0.3">
      <c r="T68" s="18">
        <v>43843</v>
      </c>
    </row>
    <row r="69" spans="3:20" x14ac:dyDescent="0.3">
      <c r="T69" s="18">
        <v>43872</v>
      </c>
    </row>
    <row r="70" spans="3:20" x14ac:dyDescent="0.3">
      <c r="T70" s="18">
        <v>43885</v>
      </c>
    </row>
    <row r="71" spans="3:20" x14ac:dyDescent="0.3">
      <c r="T71" s="18">
        <v>43910</v>
      </c>
    </row>
    <row r="72" spans="3:20" x14ac:dyDescent="0.3">
      <c r="T72" s="18">
        <v>43950</v>
      </c>
    </row>
    <row r="73" spans="3:20" x14ac:dyDescent="0.3">
      <c r="T73" s="18">
        <v>43954</v>
      </c>
    </row>
    <row r="74" spans="3:20" x14ac:dyDescent="0.3">
      <c r="T74" s="18">
        <v>43955</v>
      </c>
    </row>
    <row r="75" spans="3:20" x14ac:dyDescent="0.3">
      <c r="T75" s="18">
        <v>43956</v>
      </c>
    </row>
    <row r="76" spans="3:20" x14ac:dyDescent="0.3">
      <c r="T76" s="18">
        <v>43957</v>
      </c>
    </row>
    <row r="77" spans="3:20" x14ac:dyDescent="0.3">
      <c r="T77" s="18">
        <v>44035</v>
      </c>
    </row>
    <row r="78" spans="3:20" x14ac:dyDescent="0.3">
      <c r="T78" s="18">
        <v>44036</v>
      </c>
    </row>
    <row r="79" spans="3:20" x14ac:dyDescent="0.3">
      <c r="T79" s="18">
        <v>44053</v>
      </c>
    </row>
    <row r="80" spans="3:20" x14ac:dyDescent="0.3">
      <c r="T80" s="18">
        <v>44095</v>
      </c>
    </row>
    <row r="81" spans="20:20" x14ac:dyDescent="0.3">
      <c r="T81" s="18">
        <v>44096</v>
      </c>
    </row>
    <row r="82" spans="20:20" x14ac:dyDescent="0.3">
      <c r="T82" s="18">
        <v>44138</v>
      </c>
    </row>
    <row r="83" spans="20:20" x14ac:dyDescent="0.3">
      <c r="T83" s="18">
        <v>44158</v>
      </c>
    </row>
    <row r="84" spans="20:20" x14ac:dyDescent="0.3">
      <c r="T84" s="18">
        <v>44197</v>
      </c>
    </row>
    <row r="85" spans="20:20" x14ac:dyDescent="0.3">
      <c r="T85" s="18">
        <v>44207</v>
      </c>
    </row>
    <row r="86" spans="20:20" x14ac:dyDescent="0.3">
      <c r="T86" s="18">
        <v>44238</v>
      </c>
    </row>
    <row r="87" spans="20:20" x14ac:dyDescent="0.3">
      <c r="T87" s="18">
        <v>44250</v>
      </c>
    </row>
    <row r="88" spans="20:20" x14ac:dyDescent="0.3">
      <c r="T88" s="18">
        <v>44275</v>
      </c>
    </row>
    <row r="89" spans="20:20" x14ac:dyDescent="0.3">
      <c r="T89" s="18">
        <v>44315</v>
      </c>
    </row>
    <row r="90" spans="20:20" x14ac:dyDescent="0.3">
      <c r="T90" s="18">
        <v>44319</v>
      </c>
    </row>
    <row r="91" spans="20:20" x14ac:dyDescent="0.3">
      <c r="T91" s="18">
        <v>44320</v>
      </c>
    </row>
    <row r="92" spans="20:20" x14ac:dyDescent="0.3">
      <c r="T92" s="18">
        <v>44321</v>
      </c>
    </row>
    <row r="93" spans="20:20" x14ac:dyDescent="0.3">
      <c r="T93" s="18">
        <v>44396</v>
      </c>
    </row>
    <row r="94" spans="20:20" x14ac:dyDescent="0.3">
      <c r="T94" s="18">
        <v>44419</v>
      </c>
    </row>
    <row r="95" spans="20:20" x14ac:dyDescent="0.3">
      <c r="T95" s="18">
        <v>44459</v>
      </c>
    </row>
    <row r="96" spans="20:20" x14ac:dyDescent="0.3">
      <c r="T96" s="18">
        <v>44462</v>
      </c>
    </row>
    <row r="97" spans="20:20" x14ac:dyDescent="0.3">
      <c r="T97" s="18">
        <v>44480</v>
      </c>
    </row>
    <row r="98" spans="20:20" x14ac:dyDescent="0.3">
      <c r="T98" s="18">
        <v>44503</v>
      </c>
    </row>
    <row r="99" spans="20:20" x14ac:dyDescent="0.3">
      <c r="T99" s="18">
        <v>44523</v>
      </c>
    </row>
    <row r="100" spans="20:20" x14ac:dyDescent="0.3">
      <c r="T100" s="18">
        <v>44562</v>
      </c>
    </row>
    <row r="101" spans="20:20" x14ac:dyDescent="0.3">
      <c r="T101" s="18">
        <v>44571</v>
      </c>
    </row>
    <row r="102" spans="20:20" x14ac:dyDescent="0.3">
      <c r="T102" s="18">
        <v>44603</v>
      </c>
    </row>
    <row r="103" spans="20:20" x14ac:dyDescent="0.3">
      <c r="T103" s="18">
        <v>44615</v>
      </c>
    </row>
    <row r="104" spans="20:20" x14ac:dyDescent="0.3">
      <c r="T104" s="18">
        <v>44641</v>
      </c>
    </row>
    <row r="105" spans="20:20" x14ac:dyDescent="0.3">
      <c r="T105" s="18">
        <v>44680</v>
      </c>
    </row>
    <row r="106" spans="20:20" x14ac:dyDescent="0.3">
      <c r="T106" s="18">
        <v>44684</v>
      </c>
    </row>
    <row r="107" spans="20:20" x14ac:dyDescent="0.3">
      <c r="T107" s="18">
        <v>44685</v>
      </c>
    </row>
    <row r="108" spans="20:20" x14ac:dyDescent="0.3">
      <c r="T108" s="18">
        <v>44686</v>
      </c>
    </row>
    <row r="109" spans="20:20" x14ac:dyDescent="0.3">
      <c r="T109" s="18">
        <v>44760</v>
      </c>
    </row>
    <row r="110" spans="20:20" x14ac:dyDescent="0.3">
      <c r="T110" s="18">
        <v>44784</v>
      </c>
    </row>
    <row r="111" spans="20:20" x14ac:dyDescent="0.3">
      <c r="T111" s="18">
        <v>44823</v>
      </c>
    </row>
    <row r="112" spans="20:20" x14ac:dyDescent="0.3">
      <c r="T112" s="18">
        <v>44827</v>
      </c>
    </row>
    <row r="113" spans="20:20" x14ac:dyDescent="0.3">
      <c r="T113" s="18">
        <v>44844</v>
      </c>
    </row>
    <row r="114" spans="20:20" x14ac:dyDescent="0.3">
      <c r="T114" s="18">
        <v>44868</v>
      </c>
    </row>
    <row r="115" spans="20:20" x14ac:dyDescent="0.3">
      <c r="T115" s="18">
        <v>44888</v>
      </c>
    </row>
    <row r="116" spans="20:20" x14ac:dyDescent="0.3">
      <c r="T116" s="18"/>
    </row>
  </sheetData>
  <mergeCells count="2">
    <mergeCell ref="A2:Q2"/>
    <mergeCell ref="C4:O6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H154"/>
  <sheetViews>
    <sheetView showGridLines="0" view="pageBreakPreview" zoomScale="64" zoomScaleNormal="75" zoomScaleSheetLayoutView="64" zoomScalePageLayoutView="59" workbookViewId="0">
      <selection activeCell="Q4" sqref="Q4"/>
    </sheetView>
  </sheetViews>
  <sheetFormatPr defaultColWidth="9" defaultRowHeight="13.5" x14ac:dyDescent="0.3"/>
  <cols>
    <col min="1" max="1" width="1.83203125" style="1" customWidth="1"/>
    <col min="2" max="2" width="6.4140625" style="1" customWidth="1"/>
    <col min="3" max="3" width="9.58203125" style="1" customWidth="1"/>
    <col min="4" max="4" width="5.33203125" style="1" customWidth="1"/>
    <col min="5" max="5" width="12.08203125" style="1" customWidth="1"/>
    <col min="6" max="6" width="9.58203125" style="1" customWidth="1"/>
    <col min="7" max="7" width="5.33203125" style="1" customWidth="1"/>
    <col min="8" max="8" width="12.08203125" style="1" customWidth="1"/>
    <col min="9" max="9" width="5.33203125" style="1" customWidth="1"/>
    <col min="10" max="10" width="1.33203125" style="1" customWidth="1"/>
    <col min="11" max="11" width="5.33203125" style="1" customWidth="1"/>
    <col min="12" max="12" width="9.58203125" style="1" customWidth="1"/>
    <col min="13" max="13" width="5.33203125" style="1" customWidth="1"/>
    <col min="14" max="14" width="12.08203125" style="1" customWidth="1"/>
    <col min="15" max="15" width="9.58203125" style="1" customWidth="1"/>
    <col min="16" max="16" width="5.33203125" style="1" customWidth="1"/>
    <col min="17" max="17" width="12.08203125" style="1" customWidth="1"/>
    <col min="18" max="18" width="5.9140625" style="11" customWidth="1"/>
    <col min="19" max="19" width="2.6640625" style="11" customWidth="1"/>
    <col min="20" max="20" width="0.75" style="1" customWidth="1"/>
    <col min="21" max="21" width="11.75" style="499" customWidth="1"/>
    <col min="22" max="22" width="0.58203125" style="500" customWidth="1"/>
    <col min="23" max="34" width="9" style="499"/>
    <col min="35" max="16384" width="9" style="1"/>
  </cols>
  <sheetData>
    <row r="1" spans="1:34" ht="22" x14ac:dyDescent="0.3">
      <c r="A1" s="588" t="s">
        <v>55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</row>
    <row r="2" spans="1:34" ht="27" customHeight="1" x14ac:dyDescent="0.3">
      <c r="B2" s="82" t="s">
        <v>29</v>
      </c>
      <c r="D2" s="82"/>
      <c r="G2" s="82"/>
      <c r="K2" s="82" t="s">
        <v>59</v>
      </c>
      <c r="R2" s="1"/>
      <c r="S2" s="1"/>
      <c r="T2" s="11"/>
      <c r="U2" s="501" t="s">
        <v>161</v>
      </c>
      <c r="V2" s="499"/>
      <c r="W2" s="499" t="s">
        <v>162</v>
      </c>
      <c r="X2" s="500"/>
    </row>
    <row r="3" spans="1:34" ht="23" customHeight="1" thickBot="1" x14ac:dyDescent="0.35">
      <c r="B3" s="24" t="s">
        <v>2</v>
      </c>
      <c r="K3" s="101" t="s">
        <v>1</v>
      </c>
      <c r="L3" s="102"/>
      <c r="M3" s="102"/>
      <c r="N3" s="102"/>
      <c r="O3" s="102"/>
      <c r="P3" s="415"/>
      <c r="Q3" s="589"/>
      <c r="R3" s="590"/>
      <c r="S3" s="591"/>
      <c r="T3" s="11"/>
      <c r="U3" s="499">
        <f>IF(Q3="直島町",0,31)</f>
        <v>31</v>
      </c>
    </row>
    <row r="4" spans="1:34" ht="7.5" customHeight="1" thickTop="1" x14ac:dyDescent="0.3">
      <c r="B4" s="24"/>
      <c r="K4" s="9"/>
      <c r="L4" s="11"/>
      <c r="M4" s="11"/>
      <c r="N4" s="11"/>
      <c r="O4" s="11"/>
      <c r="P4" s="11"/>
      <c r="Q4" s="11"/>
    </row>
    <row r="5" spans="1:34" ht="24.5" customHeight="1" x14ac:dyDescent="0.3">
      <c r="B5" s="24"/>
      <c r="C5" s="362"/>
      <c r="E5" s="91"/>
      <c r="F5" s="11"/>
      <c r="G5" s="11"/>
      <c r="H5" s="11"/>
      <c r="I5" s="11"/>
      <c r="J5" s="11"/>
      <c r="K5" s="9"/>
      <c r="L5" s="11"/>
      <c r="M5" s="11"/>
      <c r="N5" s="11"/>
      <c r="O5" s="11"/>
      <c r="P5" s="11"/>
      <c r="Q5" s="11"/>
      <c r="U5" s="499" t="s">
        <v>177</v>
      </c>
      <c r="W5" s="499">
        <f>IF(Q3="綾川町・まんのう町・直島町　以外",4,0)</f>
        <v>0</v>
      </c>
      <c r="X5" s="499" t="s">
        <v>164</v>
      </c>
    </row>
    <row r="6" spans="1:34" ht="24.5" customHeight="1" x14ac:dyDescent="0.3">
      <c r="B6" s="24"/>
      <c r="C6" s="362"/>
      <c r="E6" s="91"/>
      <c r="F6" s="11"/>
      <c r="G6" s="11"/>
      <c r="H6" s="11"/>
      <c r="I6" s="11"/>
      <c r="J6" s="11"/>
      <c r="K6" s="9"/>
      <c r="L6" s="11"/>
      <c r="M6" s="11"/>
      <c r="N6" s="11"/>
      <c r="O6" s="11"/>
      <c r="P6" s="11"/>
      <c r="Q6" s="11"/>
    </row>
    <row r="7" spans="1:34" ht="3.5" customHeight="1" thickBot="1" x14ac:dyDescent="0.35">
      <c r="B7" s="24"/>
      <c r="K7" s="9"/>
      <c r="L7" s="11"/>
      <c r="M7" s="11"/>
      <c r="N7" s="11"/>
      <c r="O7" s="11"/>
      <c r="P7" s="11"/>
      <c r="Q7" s="11"/>
    </row>
    <row r="8" spans="1:34" ht="25" customHeight="1" thickBot="1" x14ac:dyDescent="0.35">
      <c r="A8" s="11"/>
      <c r="B8" s="296" t="s">
        <v>28</v>
      </c>
      <c r="C8" s="463"/>
      <c r="D8" s="463"/>
      <c r="E8" s="463"/>
      <c r="F8" s="286"/>
      <c r="G8" s="286"/>
      <c r="H8" s="286"/>
      <c r="I8" s="333"/>
      <c r="J8" s="144"/>
      <c r="K8" s="287" t="s">
        <v>27</v>
      </c>
      <c r="L8" s="182"/>
      <c r="M8" s="182"/>
      <c r="N8" s="108"/>
      <c r="O8" s="182"/>
      <c r="P8" s="182"/>
      <c r="Q8" s="108"/>
      <c r="R8" s="131"/>
      <c r="S8" s="10"/>
      <c r="T8" s="2"/>
      <c r="U8" s="499" t="s">
        <v>164</v>
      </c>
      <c r="W8" s="499">
        <v>7</v>
      </c>
      <c r="X8" s="499" t="s">
        <v>163</v>
      </c>
    </row>
    <row r="9" spans="1:34" s="27" customFormat="1" ht="20.149999999999999" customHeight="1" x14ac:dyDescent="0.3">
      <c r="A9" s="99"/>
      <c r="B9" s="288" t="s">
        <v>19</v>
      </c>
      <c r="C9" s="104"/>
      <c r="D9" s="104"/>
      <c r="E9" s="105"/>
      <c r="F9" s="104"/>
      <c r="G9" s="104"/>
      <c r="H9" s="105"/>
      <c r="I9" s="105"/>
      <c r="J9" s="334"/>
      <c r="K9" s="288" t="s">
        <v>19</v>
      </c>
      <c r="L9" s="104"/>
      <c r="M9" s="104"/>
      <c r="N9" s="105"/>
      <c r="O9" s="104"/>
      <c r="P9" s="104"/>
      <c r="Q9" s="105"/>
      <c r="R9" s="117"/>
      <c r="S9" s="36"/>
      <c r="T9" s="29"/>
      <c r="U9" s="499">
        <f>IF(Q3="綾川町・まんのう町・直島町　以外",COUNTIF(D33:D36,"○"),0)</f>
        <v>0</v>
      </c>
      <c r="V9" s="502"/>
      <c r="W9" s="503">
        <f>W5+W8</f>
        <v>7</v>
      </c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</row>
    <row r="10" spans="1:34" ht="6" customHeight="1" x14ac:dyDescent="0.3">
      <c r="B10" s="110"/>
      <c r="C10" s="11"/>
      <c r="D10" s="11"/>
      <c r="E10" s="59"/>
      <c r="F10" s="11"/>
      <c r="G10" s="11"/>
      <c r="H10" s="59"/>
      <c r="I10" s="59"/>
      <c r="J10" s="141"/>
      <c r="K10" s="110"/>
      <c r="L10" s="11"/>
      <c r="M10" s="11"/>
      <c r="N10" s="59"/>
      <c r="O10" s="11"/>
      <c r="P10" s="11"/>
      <c r="Q10" s="59"/>
      <c r="R10" s="123"/>
      <c r="V10" s="504"/>
    </row>
    <row r="11" spans="1:34" s="6" customFormat="1" ht="20.149999999999999" customHeight="1" x14ac:dyDescent="0.3">
      <c r="B11" s="111"/>
      <c r="C11" s="592">
        <f>DATE(2020,1,1)</f>
        <v>43831</v>
      </c>
      <c r="D11" s="593"/>
      <c r="E11" s="594"/>
      <c r="F11" s="592">
        <f>DATE(2020,2,1)</f>
        <v>43862</v>
      </c>
      <c r="G11" s="593"/>
      <c r="H11" s="594"/>
      <c r="I11" s="462"/>
      <c r="J11" s="335"/>
      <c r="K11" s="111"/>
      <c r="L11" s="592">
        <v>44197</v>
      </c>
      <c r="M11" s="593"/>
      <c r="N11" s="594"/>
      <c r="O11" s="592">
        <v>44228</v>
      </c>
      <c r="P11" s="593"/>
      <c r="Q11" s="594"/>
      <c r="R11" s="169"/>
      <c r="S11" s="33"/>
      <c r="T11" s="5"/>
      <c r="U11" s="499" t="s">
        <v>163</v>
      </c>
      <c r="V11" s="505"/>
      <c r="W11" s="499">
        <f>IF(Q3="直島町",0,1)</f>
        <v>1</v>
      </c>
      <c r="X11" s="506" t="s">
        <v>165</v>
      </c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</row>
    <row r="12" spans="1:34" s="19" customFormat="1" ht="20.149999999999999" customHeight="1" thickBot="1" x14ac:dyDescent="0.35">
      <c r="B12" s="111"/>
      <c r="C12" s="165" t="s">
        <v>10</v>
      </c>
      <c r="D12" s="31" t="s">
        <v>13</v>
      </c>
      <c r="E12" s="31" t="s">
        <v>0</v>
      </c>
      <c r="F12" s="165" t="s">
        <v>10</v>
      </c>
      <c r="G12" s="31" t="s">
        <v>13</v>
      </c>
      <c r="H12" s="166" t="s">
        <v>0</v>
      </c>
      <c r="I12" s="462"/>
      <c r="J12" s="335"/>
      <c r="K12" s="111"/>
      <c r="L12" s="165" t="s">
        <v>10</v>
      </c>
      <c r="M12" s="31" t="s">
        <v>13</v>
      </c>
      <c r="N12" s="31" t="s">
        <v>0</v>
      </c>
      <c r="O12" s="165" t="s">
        <v>10</v>
      </c>
      <c r="P12" s="31" t="s">
        <v>13</v>
      </c>
      <c r="Q12" s="166" t="s">
        <v>0</v>
      </c>
      <c r="R12" s="158"/>
      <c r="S12" s="34"/>
      <c r="T12" s="20"/>
      <c r="U12" s="507">
        <f>COUNTIF(D37:D43,"○")</f>
        <v>0</v>
      </c>
      <c r="V12" s="508"/>
      <c r="W12" s="509">
        <f>W9*W11</f>
        <v>7</v>
      </c>
      <c r="X12" s="509" t="s">
        <v>166</v>
      </c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</row>
    <row r="13" spans="1:34" s="8" customFormat="1" ht="17" thickTop="1" thickBot="1" x14ac:dyDescent="0.35">
      <c r="B13" s="111"/>
      <c r="C13" s="247">
        <f>C11</f>
        <v>43831</v>
      </c>
      <c r="D13" s="272"/>
      <c r="E13" s="470"/>
      <c r="F13" s="408">
        <f>F11</f>
        <v>43862</v>
      </c>
      <c r="G13" s="452"/>
      <c r="H13" s="479"/>
      <c r="I13" s="106"/>
      <c r="J13" s="336"/>
      <c r="K13" s="111"/>
      <c r="L13" s="247">
        <f>L11</f>
        <v>44197</v>
      </c>
      <c r="M13" s="208"/>
      <c r="N13" s="470"/>
      <c r="O13" s="408">
        <f>O11</f>
        <v>44228</v>
      </c>
      <c r="P13" s="456"/>
      <c r="Q13" s="479"/>
      <c r="R13" s="122"/>
      <c r="S13" s="35"/>
      <c r="T13" s="35"/>
      <c r="U13" s="506" t="s">
        <v>171</v>
      </c>
      <c r="V13" s="510">
        <v>42370</v>
      </c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</row>
    <row r="14" spans="1:34" s="8" customFormat="1" ht="16.5" thickTop="1" x14ac:dyDescent="0.3">
      <c r="B14" s="111"/>
      <c r="C14" s="174">
        <f>C13+1</f>
        <v>43832</v>
      </c>
      <c r="D14" s="211"/>
      <c r="E14" s="237"/>
      <c r="F14" s="407">
        <f>F13+1</f>
        <v>43863</v>
      </c>
      <c r="G14" s="461"/>
      <c r="H14" s="480"/>
      <c r="I14" s="106"/>
      <c r="J14" s="336"/>
      <c r="K14" s="111"/>
      <c r="L14" s="174">
        <f>L13+1</f>
        <v>44198</v>
      </c>
      <c r="M14" s="208"/>
      <c r="N14" s="237"/>
      <c r="O14" s="407">
        <f>O13+1</f>
        <v>44229</v>
      </c>
      <c r="P14" s="214"/>
      <c r="Q14" s="480"/>
      <c r="R14" s="122"/>
      <c r="S14" s="35"/>
      <c r="T14" s="35"/>
      <c r="U14" s="512">
        <f>U9+U12</f>
        <v>0</v>
      </c>
      <c r="V14" s="510">
        <v>42380</v>
      </c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</row>
    <row r="15" spans="1:34" s="8" customFormat="1" ht="16" x14ac:dyDescent="0.3">
      <c r="B15" s="111"/>
      <c r="C15" s="174">
        <f t="shared" ref="C15:C42" si="0">C14+1</f>
        <v>43833</v>
      </c>
      <c r="D15" s="211"/>
      <c r="E15" s="237"/>
      <c r="F15" s="179">
        <f t="shared" ref="F15:F41" si="1">F14+1</f>
        <v>43864</v>
      </c>
      <c r="G15" s="314"/>
      <c r="H15" s="481"/>
      <c r="I15" s="106"/>
      <c r="J15" s="336"/>
      <c r="K15" s="111"/>
      <c r="L15" s="174">
        <f t="shared" ref="L15:L42" si="2">L14+1</f>
        <v>44199</v>
      </c>
      <c r="M15" s="208"/>
      <c r="N15" s="237"/>
      <c r="O15" s="179">
        <f t="shared" ref="O15:O40" si="3">O14+1</f>
        <v>44230</v>
      </c>
      <c r="P15" s="384"/>
      <c r="Q15" s="481"/>
      <c r="R15" s="122"/>
      <c r="S15" s="35"/>
      <c r="T15" s="35"/>
      <c r="U15" s="506" t="s">
        <v>165</v>
      </c>
      <c r="V15" s="510">
        <v>42411</v>
      </c>
      <c r="W15" s="499">
        <f>IF(Q3="直島町",12,13)</f>
        <v>13</v>
      </c>
      <c r="X15" s="511" t="s">
        <v>167</v>
      </c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</row>
    <row r="16" spans="1:34" s="8" customFormat="1" ht="16" x14ac:dyDescent="0.3">
      <c r="B16" s="111"/>
      <c r="C16" s="174">
        <f>C15+1</f>
        <v>43834</v>
      </c>
      <c r="D16" s="211"/>
      <c r="E16" s="237"/>
      <c r="F16" s="179">
        <f>F15+1</f>
        <v>43865</v>
      </c>
      <c r="G16" s="314"/>
      <c r="H16" s="481"/>
      <c r="I16" s="106"/>
      <c r="J16" s="336"/>
      <c r="K16" s="111"/>
      <c r="L16" s="174">
        <f>L15+1</f>
        <v>44200</v>
      </c>
      <c r="M16" s="208"/>
      <c r="N16" s="237"/>
      <c r="O16" s="179">
        <f>O15+1</f>
        <v>44231</v>
      </c>
      <c r="P16" s="384"/>
      <c r="Q16" s="481"/>
      <c r="R16" s="122"/>
      <c r="S16" s="35"/>
      <c r="T16" s="35"/>
      <c r="U16" s="499">
        <f>IF(Q3="直島町",0,1)</f>
        <v>1</v>
      </c>
      <c r="V16" s="510">
        <v>42449</v>
      </c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</row>
    <row r="17" spans="2:34" s="8" customFormat="1" ht="16" x14ac:dyDescent="0.3">
      <c r="B17" s="111"/>
      <c r="C17" s="174">
        <f t="shared" si="0"/>
        <v>43835</v>
      </c>
      <c r="D17" s="211"/>
      <c r="E17" s="237"/>
      <c r="F17" s="179">
        <f t="shared" si="1"/>
        <v>43866</v>
      </c>
      <c r="G17" s="314"/>
      <c r="H17" s="481"/>
      <c r="I17" s="106"/>
      <c r="J17" s="336"/>
      <c r="K17" s="111"/>
      <c r="L17" s="174">
        <f t="shared" si="2"/>
        <v>44201</v>
      </c>
      <c r="M17" s="208"/>
      <c r="N17" s="237"/>
      <c r="O17" s="179">
        <f t="shared" si="3"/>
        <v>44232</v>
      </c>
      <c r="P17" s="384"/>
      <c r="Q17" s="481"/>
      <c r="R17" s="122"/>
      <c r="S17" s="35"/>
      <c r="T17" s="35"/>
      <c r="U17" s="513">
        <f>U14*U16</f>
        <v>0</v>
      </c>
      <c r="V17" s="510">
        <v>42450</v>
      </c>
      <c r="W17" s="511" t="s">
        <v>175</v>
      </c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</row>
    <row r="18" spans="2:34" s="8" customFormat="1" ht="16" x14ac:dyDescent="0.3">
      <c r="B18" s="111"/>
      <c r="C18" s="248">
        <f>C17+1</f>
        <v>43836</v>
      </c>
      <c r="D18" s="212"/>
      <c r="E18" s="471"/>
      <c r="F18" s="217">
        <f>F17+1</f>
        <v>43867</v>
      </c>
      <c r="G18" s="453"/>
      <c r="H18" s="482"/>
      <c r="I18" s="106"/>
      <c r="J18" s="336"/>
      <c r="K18" s="111"/>
      <c r="L18" s="248">
        <f>L17+1</f>
        <v>44202</v>
      </c>
      <c r="M18" s="275"/>
      <c r="N18" s="471"/>
      <c r="O18" s="217">
        <f>O17+1</f>
        <v>44233</v>
      </c>
      <c r="P18" s="455"/>
      <c r="Q18" s="482"/>
      <c r="R18" s="122"/>
      <c r="S18" s="35"/>
      <c r="T18" s="35"/>
      <c r="U18" s="514"/>
      <c r="V18" s="510">
        <v>42489</v>
      </c>
      <c r="W18" s="511" t="s">
        <v>172</v>
      </c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</row>
    <row r="19" spans="2:34" s="8" customFormat="1" ht="16" x14ac:dyDescent="0.3">
      <c r="B19" s="111"/>
      <c r="C19" s="247">
        <f t="shared" si="0"/>
        <v>43837</v>
      </c>
      <c r="D19" s="272"/>
      <c r="E19" s="470"/>
      <c r="F19" s="209">
        <f t="shared" si="1"/>
        <v>43868</v>
      </c>
      <c r="G19" s="454"/>
      <c r="H19" s="483"/>
      <c r="I19" s="106"/>
      <c r="J19" s="336"/>
      <c r="K19" s="111"/>
      <c r="L19" s="247">
        <f t="shared" si="2"/>
        <v>44203</v>
      </c>
      <c r="M19" s="208"/>
      <c r="N19" s="470"/>
      <c r="O19" s="209">
        <f t="shared" si="3"/>
        <v>44234</v>
      </c>
      <c r="P19" s="384"/>
      <c r="Q19" s="483"/>
      <c r="R19" s="122"/>
      <c r="S19" s="35"/>
      <c r="T19" s="35"/>
      <c r="U19" s="514"/>
      <c r="V19" s="510">
        <v>42493</v>
      </c>
      <c r="W19" s="511">
        <v>12</v>
      </c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</row>
    <row r="20" spans="2:34" s="8" customFormat="1" ht="16" x14ac:dyDescent="0.3">
      <c r="B20" s="111"/>
      <c r="C20" s="174">
        <f t="shared" si="0"/>
        <v>43838</v>
      </c>
      <c r="D20" s="211"/>
      <c r="E20" s="237"/>
      <c r="F20" s="179">
        <f t="shared" si="1"/>
        <v>43869</v>
      </c>
      <c r="G20" s="314"/>
      <c r="H20" s="481"/>
      <c r="I20" s="106"/>
      <c r="J20" s="336"/>
      <c r="K20" s="111"/>
      <c r="L20" s="174">
        <f t="shared" si="2"/>
        <v>44204</v>
      </c>
      <c r="M20" s="100"/>
      <c r="N20" s="237"/>
      <c r="O20" s="179">
        <f t="shared" si="3"/>
        <v>44235</v>
      </c>
      <c r="P20" s="213"/>
      <c r="Q20" s="481"/>
      <c r="R20" s="122"/>
      <c r="S20" s="35"/>
      <c r="T20" s="35"/>
      <c r="U20" s="514" t="s">
        <v>175</v>
      </c>
      <c r="V20" s="510">
        <v>42494</v>
      </c>
      <c r="W20" s="506" t="s">
        <v>165</v>
      </c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</row>
    <row r="21" spans="2:34" s="8" customFormat="1" ht="16" x14ac:dyDescent="0.3">
      <c r="B21" s="111"/>
      <c r="C21" s="174">
        <f t="shared" si="0"/>
        <v>43839</v>
      </c>
      <c r="D21" s="211"/>
      <c r="E21" s="237"/>
      <c r="F21" s="179">
        <f t="shared" si="1"/>
        <v>43870</v>
      </c>
      <c r="G21" s="314"/>
      <c r="H21" s="481"/>
      <c r="I21" s="106"/>
      <c r="J21" s="336"/>
      <c r="K21" s="111"/>
      <c r="L21" s="174">
        <f t="shared" si="2"/>
        <v>44205</v>
      </c>
      <c r="M21" s="100"/>
      <c r="N21" s="237"/>
      <c r="O21" s="179">
        <f t="shared" si="3"/>
        <v>44236</v>
      </c>
      <c r="P21" s="213"/>
      <c r="Q21" s="481"/>
      <c r="R21" s="122"/>
      <c r="S21" s="35"/>
      <c r="T21" s="35"/>
      <c r="U21" s="499" t="s">
        <v>164</v>
      </c>
      <c r="V21" s="510">
        <v>42495</v>
      </c>
      <c r="W21" s="499">
        <f>IF(Q3="直島町",0,1)</f>
        <v>1</v>
      </c>
      <c r="X21" s="511"/>
      <c r="Y21" s="511"/>
      <c r="Z21" s="511"/>
      <c r="AA21" s="511"/>
      <c r="AB21" s="511"/>
      <c r="AC21" s="511"/>
      <c r="AD21" s="511"/>
      <c r="AE21" s="511"/>
      <c r="AF21" s="511"/>
      <c r="AG21" s="511"/>
      <c r="AH21" s="511"/>
    </row>
    <row r="22" spans="2:34" s="8" customFormat="1" ht="16" x14ac:dyDescent="0.3">
      <c r="B22" s="111"/>
      <c r="C22" s="174">
        <f t="shared" si="0"/>
        <v>43840</v>
      </c>
      <c r="D22" s="211"/>
      <c r="E22" s="237"/>
      <c r="F22" s="179">
        <f t="shared" si="1"/>
        <v>43871</v>
      </c>
      <c r="G22" s="314"/>
      <c r="H22" s="481"/>
      <c r="I22" s="106"/>
      <c r="J22" s="336"/>
      <c r="K22" s="111"/>
      <c r="L22" s="174">
        <f t="shared" si="2"/>
        <v>44206</v>
      </c>
      <c r="M22" s="100"/>
      <c r="N22" s="237"/>
      <c r="O22" s="179">
        <f t="shared" si="3"/>
        <v>44237</v>
      </c>
      <c r="P22" s="213"/>
      <c r="Q22" s="481"/>
      <c r="R22" s="122"/>
      <c r="S22" s="35"/>
      <c r="T22" s="35"/>
      <c r="U22" s="499">
        <f>IF(Q3="綾川町・まんのう町・直島町　以外",4,0)</f>
        <v>0</v>
      </c>
      <c r="V22" s="510">
        <v>42569</v>
      </c>
      <c r="W22" s="513">
        <f>W19+W21</f>
        <v>13</v>
      </c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</row>
    <row r="23" spans="2:34" s="8" customFormat="1" ht="16" x14ac:dyDescent="0.3">
      <c r="B23" s="111"/>
      <c r="C23" s="248">
        <f t="shared" si="0"/>
        <v>43841</v>
      </c>
      <c r="D23" s="212"/>
      <c r="E23" s="471"/>
      <c r="F23" s="217">
        <f t="shared" si="1"/>
        <v>43872</v>
      </c>
      <c r="G23" s="453"/>
      <c r="H23" s="482"/>
      <c r="I23" s="106"/>
      <c r="J23" s="336"/>
      <c r="K23" s="111"/>
      <c r="L23" s="248">
        <f t="shared" si="2"/>
        <v>44207</v>
      </c>
      <c r="M23" s="282"/>
      <c r="N23" s="471"/>
      <c r="O23" s="217">
        <f t="shared" si="3"/>
        <v>44238</v>
      </c>
      <c r="P23" s="256"/>
      <c r="Q23" s="482"/>
      <c r="R23" s="122"/>
      <c r="S23" s="35"/>
      <c r="T23" s="35"/>
      <c r="U23" s="514" t="s">
        <v>172</v>
      </c>
      <c r="V23" s="510">
        <v>42632</v>
      </c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</row>
    <row r="24" spans="2:34" s="8" customFormat="1" ht="16" x14ac:dyDescent="0.3">
      <c r="B24" s="111"/>
      <c r="C24" s="279">
        <f t="shared" si="0"/>
        <v>43842</v>
      </c>
      <c r="D24" s="275"/>
      <c r="E24" s="472"/>
      <c r="F24" s="326">
        <f t="shared" si="1"/>
        <v>43873</v>
      </c>
      <c r="G24" s="455"/>
      <c r="H24" s="484"/>
      <c r="I24" s="106"/>
      <c r="J24" s="336"/>
      <c r="K24" s="111"/>
      <c r="L24" s="279">
        <f t="shared" si="2"/>
        <v>44208</v>
      </c>
      <c r="M24" s="275"/>
      <c r="N24" s="486"/>
      <c r="O24" s="326">
        <f t="shared" si="3"/>
        <v>44239</v>
      </c>
      <c r="P24" s="455"/>
      <c r="Q24" s="484"/>
      <c r="R24" s="122"/>
      <c r="S24" s="35"/>
      <c r="T24" s="35"/>
      <c r="U24" s="513">
        <v>7</v>
      </c>
      <c r="V24" s="510">
        <v>42635</v>
      </c>
      <c r="W24" s="511" t="s">
        <v>178</v>
      </c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511"/>
    </row>
    <row r="25" spans="2:34" s="8" customFormat="1" ht="16.5" thickBot="1" x14ac:dyDescent="0.35">
      <c r="B25" s="111"/>
      <c r="C25" s="249">
        <f t="shared" si="0"/>
        <v>43843</v>
      </c>
      <c r="D25" s="450"/>
      <c r="E25" s="472"/>
      <c r="F25" s="305">
        <f t="shared" si="1"/>
        <v>43874</v>
      </c>
      <c r="G25" s="306"/>
      <c r="H25" s="478"/>
      <c r="I25" s="106"/>
      <c r="J25" s="336"/>
      <c r="K25" s="111"/>
      <c r="L25" s="331">
        <f t="shared" si="2"/>
        <v>44209</v>
      </c>
      <c r="M25" s="406"/>
      <c r="N25" s="487"/>
      <c r="O25" s="305">
        <f t="shared" si="3"/>
        <v>44240</v>
      </c>
      <c r="P25" s="306"/>
      <c r="Q25" s="478"/>
      <c r="R25" s="122"/>
      <c r="S25" s="35"/>
      <c r="T25" s="35"/>
      <c r="U25" s="506" t="s">
        <v>171</v>
      </c>
      <c r="V25" s="510">
        <v>42653</v>
      </c>
      <c r="W25" s="499" t="s">
        <v>165</v>
      </c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</row>
    <row r="26" spans="2:34" s="8" customFormat="1" ht="16.5" thickTop="1" x14ac:dyDescent="0.3">
      <c r="B26" s="111"/>
      <c r="C26" s="249">
        <f t="shared" si="0"/>
        <v>43844</v>
      </c>
      <c r="D26" s="450"/>
      <c r="E26" s="473"/>
      <c r="F26" s="307">
        <f t="shared" si="1"/>
        <v>43875</v>
      </c>
      <c r="G26" s="451"/>
      <c r="H26" s="485"/>
      <c r="I26" s="106"/>
      <c r="J26" s="336"/>
      <c r="K26" s="111"/>
      <c r="L26" s="248">
        <f t="shared" si="2"/>
        <v>44210</v>
      </c>
      <c r="M26" s="282"/>
      <c r="N26" s="471"/>
      <c r="O26" s="307">
        <f t="shared" si="3"/>
        <v>44241</v>
      </c>
      <c r="P26" s="451"/>
      <c r="Q26" s="485"/>
      <c r="R26" s="122"/>
      <c r="S26" s="35"/>
      <c r="T26" s="35"/>
      <c r="U26" s="512">
        <f>U22+U24</f>
        <v>7</v>
      </c>
      <c r="V26" s="510">
        <v>42677</v>
      </c>
      <c r="W26" s="499">
        <f>IF(Q3="直島町",0,COUNTIF(G13,"○"))</f>
        <v>0</v>
      </c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</row>
    <row r="27" spans="2:34" s="8" customFormat="1" ht="16" x14ac:dyDescent="0.3">
      <c r="B27" s="111"/>
      <c r="C27" s="249">
        <f t="shared" si="0"/>
        <v>43845</v>
      </c>
      <c r="D27" s="450"/>
      <c r="E27" s="473"/>
      <c r="F27" s="249">
        <f t="shared" si="1"/>
        <v>43876</v>
      </c>
      <c r="G27" s="450"/>
      <c r="H27" s="473"/>
      <c r="I27" s="106"/>
      <c r="J27" s="336"/>
      <c r="K27" s="111"/>
      <c r="L27" s="247">
        <f t="shared" si="2"/>
        <v>44211</v>
      </c>
      <c r="M27" s="282"/>
      <c r="N27" s="470"/>
      <c r="O27" s="249">
        <f t="shared" si="3"/>
        <v>44242</v>
      </c>
      <c r="P27" s="450"/>
      <c r="Q27" s="473"/>
      <c r="R27" s="122"/>
      <c r="S27" s="35"/>
      <c r="T27" s="35"/>
      <c r="U27" s="506" t="s">
        <v>165</v>
      </c>
      <c r="V27" s="510">
        <v>42697</v>
      </c>
      <c r="W27" s="499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</row>
    <row r="28" spans="2:34" s="8" customFormat="1" ht="16" x14ac:dyDescent="0.3">
      <c r="B28" s="111"/>
      <c r="C28" s="249">
        <f t="shared" si="0"/>
        <v>43846</v>
      </c>
      <c r="D28" s="450"/>
      <c r="E28" s="473"/>
      <c r="F28" s="249">
        <f t="shared" si="1"/>
        <v>43877</v>
      </c>
      <c r="G28" s="450"/>
      <c r="H28" s="473"/>
      <c r="I28" s="106"/>
      <c r="J28" s="336"/>
      <c r="K28" s="111"/>
      <c r="L28" s="174">
        <f t="shared" si="2"/>
        <v>44212</v>
      </c>
      <c r="M28" s="282"/>
      <c r="N28" s="237"/>
      <c r="O28" s="249">
        <f t="shared" si="3"/>
        <v>44243</v>
      </c>
      <c r="P28" s="450"/>
      <c r="Q28" s="473"/>
      <c r="R28" s="122"/>
      <c r="S28" s="35"/>
      <c r="T28" s="35"/>
      <c r="U28" s="499">
        <f>IF(Q3="直島町",0,1)</f>
        <v>1</v>
      </c>
      <c r="V28" s="510">
        <v>42727</v>
      </c>
      <c r="W28" s="499" t="s">
        <v>172</v>
      </c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</row>
    <row r="29" spans="2:34" s="8" customFormat="1" ht="16" x14ac:dyDescent="0.3">
      <c r="B29" s="111"/>
      <c r="C29" s="249">
        <f t="shared" si="0"/>
        <v>43847</v>
      </c>
      <c r="D29" s="450"/>
      <c r="E29" s="473"/>
      <c r="F29" s="249">
        <f t="shared" si="1"/>
        <v>43878</v>
      </c>
      <c r="G29" s="450"/>
      <c r="H29" s="473"/>
      <c r="I29" s="106"/>
      <c r="J29" s="336"/>
      <c r="K29" s="111"/>
      <c r="L29" s="174">
        <f t="shared" si="2"/>
        <v>44213</v>
      </c>
      <c r="M29" s="282"/>
      <c r="N29" s="237"/>
      <c r="O29" s="249">
        <f t="shared" si="3"/>
        <v>44244</v>
      </c>
      <c r="P29" s="450"/>
      <c r="Q29" s="473"/>
      <c r="R29" s="122"/>
      <c r="S29" s="35"/>
      <c r="T29" s="35"/>
      <c r="U29" s="513">
        <f>U26*U28</f>
        <v>7</v>
      </c>
      <c r="V29" s="515">
        <v>42736</v>
      </c>
      <c r="W29" s="507">
        <f>COUNTIF(G14:G25,"○")</f>
        <v>0</v>
      </c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</row>
    <row r="30" spans="2:34" s="8" customFormat="1" ht="16" x14ac:dyDescent="0.3">
      <c r="B30" s="111"/>
      <c r="C30" s="249">
        <f t="shared" si="0"/>
        <v>43848</v>
      </c>
      <c r="D30" s="450"/>
      <c r="E30" s="473"/>
      <c r="F30" s="249">
        <f t="shared" si="1"/>
        <v>43879</v>
      </c>
      <c r="G30" s="450"/>
      <c r="H30" s="473"/>
      <c r="I30" s="106"/>
      <c r="J30" s="336"/>
      <c r="K30" s="111"/>
      <c r="L30" s="174">
        <f t="shared" si="2"/>
        <v>44214</v>
      </c>
      <c r="M30" s="282"/>
      <c r="N30" s="237"/>
      <c r="O30" s="249">
        <f t="shared" si="3"/>
        <v>44245</v>
      </c>
      <c r="P30" s="450"/>
      <c r="Q30" s="473"/>
      <c r="R30" s="122"/>
      <c r="S30" s="35"/>
      <c r="T30" s="35"/>
      <c r="U30" s="514"/>
      <c r="V30" s="515">
        <v>42744</v>
      </c>
      <c r="W30" s="506" t="s">
        <v>171</v>
      </c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</row>
    <row r="31" spans="2:34" s="8" customFormat="1" ht="16" x14ac:dyDescent="0.3">
      <c r="B31" s="111"/>
      <c r="C31" s="249">
        <f t="shared" si="0"/>
        <v>43849</v>
      </c>
      <c r="D31" s="450"/>
      <c r="E31" s="474"/>
      <c r="F31" s="249">
        <f t="shared" si="1"/>
        <v>43880</v>
      </c>
      <c r="G31" s="450"/>
      <c r="H31" s="473"/>
      <c r="I31" s="106"/>
      <c r="J31" s="336"/>
      <c r="K31" s="111"/>
      <c r="L31" s="280">
        <f t="shared" si="2"/>
        <v>44215</v>
      </c>
      <c r="M31" s="457"/>
      <c r="N31" s="488"/>
      <c r="O31" s="249">
        <f t="shared" si="3"/>
        <v>44246</v>
      </c>
      <c r="P31" s="450"/>
      <c r="Q31" s="473"/>
      <c r="R31" s="122"/>
      <c r="S31" s="35"/>
      <c r="T31" s="35"/>
      <c r="U31" s="514" t="s">
        <v>179</v>
      </c>
      <c r="V31" s="515">
        <v>42777</v>
      </c>
      <c r="W31" s="512">
        <f>W26+W29</f>
        <v>0</v>
      </c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</row>
    <row r="32" spans="2:34" s="8" customFormat="1" ht="16.5" thickBot="1" x14ac:dyDescent="0.35">
      <c r="B32" s="111"/>
      <c r="C32" s="250">
        <f t="shared" si="0"/>
        <v>43850</v>
      </c>
      <c r="D32" s="466"/>
      <c r="E32" s="474"/>
      <c r="F32" s="249">
        <f t="shared" si="1"/>
        <v>43881</v>
      </c>
      <c r="G32" s="450"/>
      <c r="H32" s="473"/>
      <c r="I32" s="106"/>
      <c r="J32" s="336"/>
      <c r="K32" s="111"/>
      <c r="L32" s="332">
        <f t="shared" si="2"/>
        <v>44216</v>
      </c>
      <c r="M32" s="458"/>
      <c r="N32" s="489"/>
      <c r="O32" s="249">
        <f t="shared" si="3"/>
        <v>44247</v>
      </c>
      <c r="P32" s="450"/>
      <c r="Q32" s="473"/>
      <c r="R32" s="411"/>
      <c r="S32" s="35"/>
      <c r="T32" s="35"/>
      <c r="U32" s="499" t="s">
        <v>159</v>
      </c>
      <c r="V32" s="515">
        <v>42814</v>
      </c>
      <c r="W32" s="506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</row>
    <row r="33" spans="1:34" s="8" customFormat="1" ht="16.5" thickTop="1" x14ac:dyDescent="0.3">
      <c r="B33" s="111"/>
      <c r="C33" s="350">
        <f t="shared" si="0"/>
        <v>43851</v>
      </c>
      <c r="D33" s="303"/>
      <c r="E33" s="475"/>
      <c r="F33" s="327">
        <f t="shared" si="1"/>
        <v>43882</v>
      </c>
      <c r="G33" s="450"/>
      <c r="H33" s="473"/>
      <c r="I33" s="106"/>
      <c r="J33" s="336"/>
      <c r="K33" s="111"/>
      <c r="L33" s="353">
        <f t="shared" si="2"/>
        <v>44217</v>
      </c>
      <c r="M33" s="467"/>
      <c r="N33" s="490"/>
      <c r="O33" s="328">
        <f t="shared" si="3"/>
        <v>44248</v>
      </c>
      <c r="P33" s="459"/>
      <c r="Q33" s="473"/>
      <c r="R33" s="122"/>
      <c r="S33" s="35"/>
      <c r="T33" s="35"/>
      <c r="U33" s="499" t="e">
        <f>IF(#REF!="綾川町・まんのう町",0,SUM(E1:E4))</f>
        <v>#REF!</v>
      </c>
      <c r="V33" s="515">
        <v>42854</v>
      </c>
      <c r="W33" s="499" t="s">
        <v>180</v>
      </c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</row>
    <row r="34" spans="1:34" s="8" customFormat="1" ht="16" x14ac:dyDescent="0.3">
      <c r="B34" s="111"/>
      <c r="C34" s="351">
        <f t="shared" si="0"/>
        <v>43852</v>
      </c>
      <c r="D34" s="300"/>
      <c r="E34" s="476"/>
      <c r="F34" s="327">
        <f t="shared" si="1"/>
        <v>43883</v>
      </c>
      <c r="G34" s="450"/>
      <c r="H34" s="473"/>
      <c r="I34" s="106"/>
      <c r="J34" s="336"/>
      <c r="K34" s="111"/>
      <c r="L34" s="354">
        <f t="shared" si="2"/>
        <v>44218</v>
      </c>
      <c r="M34" s="213"/>
      <c r="N34" s="481"/>
      <c r="O34" s="329">
        <f t="shared" si="3"/>
        <v>44249</v>
      </c>
      <c r="P34" s="460"/>
      <c r="Q34" s="473"/>
      <c r="R34" s="122"/>
      <c r="S34" s="35"/>
      <c r="T34" s="35"/>
      <c r="U34" s="499" t="s">
        <v>163</v>
      </c>
      <c r="V34" s="515">
        <v>42858</v>
      </c>
      <c r="W34" s="499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</row>
    <row r="35" spans="1:34" s="8" customFormat="1" ht="16" x14ac:dyDescent="0.3">
      <c r="B35" s="111"/>
      <c r="C35" s="351">
        <f t="shared" si="0"/>
        <v>43853</v>
      </c>
      <c r="D35" s="300"/>
      <c r="E35" s="476"/>
      <c r="F35" s="327">
        <f t="shared" si="1"/>
        <v>43884</v>
      </c>
      <c r="G35" s="450"/>
      <c r="H35" s="473"/>
      <c r="I35" s="106"/>
      <c r="J35" s="336"/>
      <c r="K35" s="111"/>
      <c r="L35" s="354">
        <f t="shared" si="2"/>
        <v>44219</v>
      </c>
      <c r="M35" s="213"/>
      <c r="N35" s="481"/>
      <c r="O35" s="329">
        <f t="shared" si="3"/>
        <v>44250</v>
      </c>
      <c r="P35" s="460"/>
      <c r="Q35" s="473"/>
      <c r="R35" s="122"/>
      <c r="S35" s="35"/>
      <c r="T35" s="35"/>
      <c r="U35" s="516">
        <f>SUM(E5:E12)</f>
        <v>0</v>
      </c>
      <c r="V35" s="515">
        <v>42859</v>
      </c>
      <c r="W35" s="499" t="s">
        <v>164</v>
      </c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</row>
    <row r="36" spans="1:34" s="8" customFormat="1" ht="16.5" thickBot="1" x14ac:dyDescent="0.35">
      <c r="B36" s="111"/>
      <c r="C36" s="352">
        <f t="shared" si="0"/>
        <v>43854</v>
      </c>
      <c r="D36" s="301"/>
      <c r="E36" s="477"/>
      <c r="F36" s="327">
        <f t="shared" si="1"/>
        <v>43885</v>
      </c>
      <c r="G36" s="450"/>
      <c r="H36" s="473"/>
      <c r="I36" s="106"/>
      <c r="J36" s="336"/>
      <c r="K36" s="111"/>
      <c r="L36" s="355">
        <f t="shared" si="2"/>
        <v>44220</v>
      </c>
      <c r="M36" s="256"/>
      <c r="N36" s="482"/>
      <c r="O36" s="329">
        <f t="shared" si="3"/>
        <v>44251</v>
      </c>
      <c r="P36" s="460"/>
      <c r="Q36" s="473"/>
      <c r="R36" s="122"/>
      <c r="S36" s="35"/>
      <c r="T36" s="35"/>
      <c r="U36" s="517" t="s">
        <v>171</v>
      </c>
      <c r="V36" s="515">
        <v>42860</v>
      </c>
      <c r="W36" s="499">
        <f>IF(Q3="綾川町・まんのう町・直島町　以外",COUNTIF(M33:M36,"○"),0)</f>
        <v>0</v>
      </c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</row>
    <row r="37" spans="1:34" s="8" customFormat="1" ht="16.5" thickTop="1" x14ac:dyDescent="0.3">
      <c r="B37" s="111"/>
      <c r="C37" s="356">
        <f t="shared" si="0"/>
        <v>43855</v>
      </c>
      <c r="D37" s="303"/>
      <c r="E37" s="475"/>
      <c r="F37" s="327">
        <f t="shared" si="1"/>
        <v>43886</v>
      </c>
      <c r="G37" s="450"/>
      <c r="H37" s="473"/>
      <c r="I37" s="106"/>
      <c r="J37" s="336"/>
      <c r="K37" s="111"/>
      <c r="L37" s="356">
        <f t="shared" si="2"/>
        <v>44221</v>
      </c>
      <c r="M37" s="303"/>
      <c r="N37" s="475"/>
      <c r="O37" s="329">
        <f t="shared" si="3"/>
        <v>44252</v>
      </c>
      <c r="P37" s="460"/>
      <c r="Q37" s="473"/>
      <c r="R37" s="122"/>
      <c r="S37" s="35"/>
      <c r="T37" s="35"/>
      <c r="U37" s="518" t="e">
        <f>U33+U35</f>
        <v>#REF!</v>
      </c>
      <c r="V37" s="515">
        <v>42933</v>
      </c>
      <c r="W37" s="499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</row>
    <row r="38" spans="1:34" s="8" customFormat="1" ht="16" x14ac:dyDescent="0.3">
      <c r="B38" s="111"/>
      <c r="C38" s="359">
        <f t="shared" si="0"/>
        <v>43856</v>
      </c>
      <c r="D38" s="300"/>
      <c r="E38" s="476"/>
      <c r="F38" s="327">
        <f t="shared" si="1"/>
        <v>43887</v>
      </c>
      <c r="G38" s="450"/>
      <c r="H38" s="473"/>
      <c r="I38" s="106"/>
      <c r="J38" s="336"/>
      <c r="K38" s="111"/>
      <c r="L38" s="357">
        <f t="shared" si="2"/>
        <v>44222</v>
      </c>
      <c r="M38" s="214"/>
      <c r="N38" s="480"/>
      <c r="O38" s="329">
        <f t="shared" si="3"/>
        <v>44253</v>
      </c>
      <c r="P38" s="460"/>
      <c r="Q38" s="473"/>
      <c r="R38" s="122"/>
      <c r="S38" s="35"/>
      <c r="T38" s="35"/>
      <c r="U38" s="517" t="s">
        <v>165</v>
      </c>
      <c r="V38" s="515">
        <v>42958</v>
      </c>
      <c r="W38" s="499" t="s">
        <v>163</v>
      </c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</row>
    <row r="39" spans="1:34" s="8" customFormat="1" ht="16" x14ac:dyDescent="0.3">
      <c r="B39" s="111"/>
      <c r="C39" s="359">
        <f t="shared" si="0"/>
        <v>43857</v>
      </c>
      <c r="D39" s="300"/>
      <c r="E39" s="476"/>
      <c r="F39" s="327">
        <f t="shared" si="1"/>
        <v>43888</v>
      </c>
      <c r="G39" s="450"/>
      <c r="H39" s="473"/>
      <c r="I39" s="106"/>
      <c r="J39" s="336"/>
      <c r="K39" s="111"/>
      <c r="L39" s="358">
        <f t="shared" si="2"/>
        <v>44223</v>
      </c>
      <c r="M39" s="213"/>
      <c r="N39" s="481"/>
      <c r="O39" s="329">
        <f t="shared" si="3"/>
        <v>44254</v>
      </c>
      <c r="P39" s="460"/>
      <c r="Q39" s="473"/>
      <c r="R39" s="122"/>
      <c r="S39" s="35"/>
      <c r="T39" s="35"/>
      <c r="U39" s="499" t="e">
        <f>IF(#REF!="直島町",0,1)</f>
        <v>#REF!</v>
      </c>
      <c r="V39" s="515">
        <v>42996</v>
      </c>
      <c r="W39" s="507">
        <f>COUNTIF(M37:M43,"○")</f>
        <v>0</v>
      </c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</row>
    <row r="40" spans="1:34" s="8" customFormat="1" ht="16" x14ac:dyDescent="0.3">
      <c r="B40" s="111"/>
      <c r="C40" s="359">
        <f t="shared" si="0"/>
        <v>43858</v>
      </c>
      <c r="D40" s="300"/>
      <c r="E40" s="476"/>
      <c r="F40" s="327">
        <f t="shared" si="1"/>
        <v>43889</v>
      </c>
      <c r="G40" s="450"/>
      <c r="H40" s="473"/>
      <c r="I40" s="106"/>
      <c r="J40" s="336"/>
      <c r="K40" s="111"/>
      <c r="L40" s="358">
        <f t="shared" si="2"/>
        <v>44224</v>
      </c>
      <c r="M40" s="278"/>
      <c r="N40" s="481"/>
      <c r="O40" s="329">
        <f t="shared" si="3"/>
        <v>44255</v>
      </c>
      <c r="P40" s="211"/>
      <c r="Q40" s="473"/>
      <c r="R40" s="122"/>
      <c r="S40" s="35"/>
      <c r="T40" s="35"/>
      <c r="U40" s="499" t="e">
        <f>U37*U39</f>
        <v>#REF!</v>
      </c>
      <c r="V40" s="515">
        <v>43001</v>
      </c>
      <c r="W40" s="506" t="s">
        <v>171</v>
      </c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</row>
    <row r="41" spans="1:34" s="8" customFormat="1" ht="16" x14ac:dyDescent="0.3">
      <c r="B41" s="111"/>
      <c r="C41" s="304">
        <f t="shared" si="0"/>
        <v>43859</v>
      </c>
      <c r="D41" s="300"/>
      <c r="E41" s="476"/>
      <c r="F41" s="327">
        <f t="shared" si="1"/>
        <v>43890</v>
      </c>
      <c r="G41" s="450"/>
      <c r="H41" s="473"/>
      <c r="I41" s="106"/>
      <c r="J41" s="336"/>
      <c r="K41" s="111"/>
      <c r="L41" s="179">
        <f t="shared" si="2"/>
        <v>44225</v>
      </c>
      <c r="M41" s="278"/>
      <c r="N41" s="481"/>
      <c r="O41" s="428" t="str">
        <f>IF(O40="","",IF(DAY(O40+1)=1,"",O40+1))</f>
        <v/>
      </c>
      <c r="P41" s="429"/>
      <c r="Q41" s="422"/>
      <c r="R41" s="122"/>
      <c r="S41" s="35"/>
      <c r="T41" s="35"/>
      <c r="U41" s="514"/>
      <c r="V41" s="515">
        <v>43017</v>
      </c>
      <c r="W41" s="512">
        <f>W36+W39</f>
        <v>0</v>
      </c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</row>
    <row r="42" spans="1:34" s="8" customFormat="1" ht="16" x14ac:dyDescent="0.3">
      <c r="B42" s="111"/>
      <c r="C42" s="304">
        <f t="shared" si="0"/>
        <v>43860</v>
      </c>
      <c r="D42" s="300"/>
      <c r="E42" s="476"/>
      <c r="F42" s="426" t="str">
        <f>IF(F41="","",IF(DAY(F41+1)=1,"",F41+1))</f>
        <v/>
      </c>
      <c r="G42" s="424"/>
      <c r="H42" s="422"/>
      <c r="I42" s="106"/>
      <c r="J42" s="336"/>
      <c r="K42" s="111"/>
      <c r="L42" s="210">
        <f t="shared" si="2"/>
        <v>44226</v>
      </c>
      <c r="M42" s="342"/>
      <c r="N42" s="491"/>
      <c r="O42" s="427" t="str">
        <f>IF(O40="","",IF(DAY(O40+1)=1,"",O40+1))</f>
        <v/>
      </c>
      <c r="P42" s="425"/>
      <c r="Q42" s="188"/>
      <c r="R42" s="122"/>
      <c r="S42" s="35"/>
      <c r="T42" s="35"/>
      <c r="U42" s="514"/>
      <c r="V42" s="515"/>
      <c r="W42" s="506" t="s">
        <v>165</v>
      </c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</row>
    <row r="43" spans="1:34" s="8" customFormat="1" ht="16.5" thickBot="1" x14ac:dyDescent="0.35">
      <c r="B43" s="111"/>
      <c r="C43" s="305">
        <f>IF(C42="","",IF(DAY(C42+1)=1,"",C42+1))</f>
        <v>43861</v>
      </c>
      <c r="D43" s="306"/>
      <c r="E43" s="478"/>
      <c r="F43" s="427" t="str">
        <f t="shared" ref="F43" si="4">IF(F41="","",IF(DAY(F41+1)=1,"",F41+1))</f>
        <v/>
      </c>
      <c r="G43" s="425"/>
      <c r="H43" s="188"/>
      <c r="I43" s="106"/>
      <c r="J43" s="336"/>
      <c r="K43" s="111"/>
      <c r="L43" s="330">
        <f>IF(L42="","",IF(DAY(L42+1)=1,"",L42+1))</f>
        <v>44227</v>
      </c>
      <c r="M43" s="311"/>
      <c r="N43" s="492"/>
      <c r="O43" s="427" t="str">
        <f t="shared" ref="O43" si="5">IF(O41="","",IF(DAY(O41+1)=1,"",O41+1))</f>
        <v/>
      </c>
      <c r="P43" s="425"/>
      <c r="Q43" s="188"/>
      <c r="R43" s="122"/>
      <c r="S43" s="35"/>
      <c r="T43" s="35"/>
      <c r="U43" s="514"/>
      <c r="V43" s="515"/>
      <c r="W43" s="499">
        <f>IF(Q3="直島町",0,1)</f>
        <v>1</v>
      </c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</row>
    <row r="44" spans="1:34" s="8" customFormat="1" ht="5.25" customHeight="1" thickTop="1" x14ac:dyDescent="0.3">
      <c r="B44" s="111"/>
      <c r="C44" s="91"/>
      <c r="D44" s="91"/>
      <c r="E44" s="91"/>
      <c r="F44" s="91"/>
      <c r="G44" s="91"/>
      <c r="H44" s="91"/>
      <c r="I44" s="106"/>
      <c r="J44" s="336"/>
      <c r="K44" s="111"/>
      <c r="L44" s="91"/>
      <c r="M44" s="91"/>
      <c r="N44" s="91"/>
      <c r="O44" s="91"/>
      <c r="P44" s="91"/>
      <c r="Q44" s="91"/>
      <c r="R44" s="122"/>
      <c r="S44" s="35"/>
      <c r="T44" s="35"/>
      <c r="U44" s="514"/>
      <c r="V44" s="515">
        <v>43042</v>
      </c>
      <c r="W44" s="513">
        <f>W41*W43</f>
        <v>0</v>
      </c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</row>
    <row r="45" spans="1:34" ht="9" customHeight="1" thickBot="1" x14ac:dyDescent="0.35">
      <c r="A45" s="11"/>
      <c r="B45" s="289" t="e">
        <f>+DATE(B8,4,1)</f>
        <v>#VALUE!</v>
      </c>
      <c r="C45" s="150"/>
      <c r="D45" s="150"/>
      <c r="E45" s="150"/>
      <c r="F45" s="150"/>
      <c r="G45" s="150"/>
      <c r="H45" s="150"/>
      <c r="I45" s="150"/>
      <c r="J45" s="144"/>
      <c r="K45" s="289" t="e">
        <f>+DATE(K8,4,1)</f>
        <v>#VALUE!</v>
      </c>
      <c r="L45" s="153"/>
      <c r="M45" s="153"/>
      <c r="N45" s="154"/>
      <c r="O45" s="153"/>
      <c r="P45" s="153"/>
      <c r="Q45" s="154"/>
      <c r="R45" s="155"/>
      <c r="S45" s="10"/>
      <c r="T45" s="10"/>
      <c r="U45" s="501"/>
      <c r="V45" s="519"/>
    </row>
    <row r="46" spans="1:34" s="27" customFormat="1" x14ac:dyDescent="0.3">
      <c r="A46" s="99"/>
      <c r="B46" s="290" t="s">
        <v>160</v>
      </c>
      <c r="C46" s="12"/>
      <c r="D46" s="12"/>
      <c r="E46" s="28"/>
      <c r="F46" s="12"/>
      <c r="G46" s="12"/>
      <c r="H46" s="28"/>
      <c r="I46" s="28"/>
      <c r="J46" s="334"/>
      <c r="K46" s="298" t="s">
        <v>18</v>
      </c>
      <c r="L46" s="12"/>
      <c r="M46" s="12"/>
      <c r="N46" s="28"/>
      <c r="O46" s="12"/>
      <c r="P46" s="12"/>
      <c r="Q46" s="28"/>
      <c r="R46" s="28"/>
      <c r="S46" s="346"/>
      <c r="T46" s="36"/>
      <c r="U46" s="520"/>
      <c r="V46" s="521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</row>
    <row r="47" spans="1:34" ht="8.5" customHeight="1" x14ac:dyDescent="0.3">
      <c r="B47" s="110"/>
      <c r="I47" s="11"/>
      <c r="J47" s="337"/>
      <c r="K47" s="110"/>
      <c r="S47" s="347"/>
      <c r="T47" s="11"/>
      <c r="U47" s="501"/>
      <c r="V47" s="515">
        <v>43220</v>
      </c>
    </row>
    <row r="48" spans="1:34" s="8" customFormat="1" ht="15" x14ac:dyDescent="0.3">
      <c r="B48" s="114"/>
      <c r="C48" s="142" t="s">
        <v>4</v>
      </c>
      <c r="D48" s="12"/>
      <c r="E48" s="28"/>
      <c r="F48" s="12"/>
      <c r="G48" s="12"/>
      <c r="H48" s="28"/>
      <c r="I48" s="28"/>
      <c r="J48" s="334"/>
      <c r="K48" s="114"/>
      <c r="L48" s="142" t="s">
        <v>5</v>
      </c>
      <c r="M48" s="12"/>
      <c r="N48" s="28"/>
      <c r="O48" s="12"/>
      <c r="P48" s="12"/>
      <c r="Q48" s="28"/>
      <c r="R48" s="121"/>
      <c r="S48" s="35"/>
      <c r="T48" s="7"/>
      <c r="U48" s="522"/>
      <c r="V48" s="504"/>
      <c r="W48" s="511" t="s">
        <v>181</v>
      </c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</row>
    <row r="49" spans="2:34" x14ac:dyDescent="0.3">
      <c r="B49" s="110"/>
      <c r="C49" s="11" t="s">
        <v>112</v>
      </c>
      <c r="D49" s="11"/>
      <c r="E49" s="25"/>
      <c r="F49" s="11"/>
      <c r="G49" s="11"/>
      <c r="H49" s="25"/>
      <c r="I49" s="25"/>
      <c r="J49" s="338"/>
      <c r="K49" s="110"/>
      <c r="L49" s="11" t="s">
        <v>113</v>
      </c>
      <c r="M49" s="13"/>
      <c r="N49" s="26"/>
      <c r="O49" s="13"/>
      <c r="P49" s="13"/>
      <c r="Q49" s="26"/>
      <c r="R49" s="137"/>
      <c r="V49" s="504">
        <v>43092</v>
      </c>
      <c r="W49" s="499" t="s">
        <v>165</v>
      </c>
    </row>
    <row r="50" spans="2:34" s="27" customFormat="1" ht="14" thickBot="1" x14ac:dyDescent="0.35">
      <c r="B50" s="120"/>
      <c r="C50" s="103" t="s">
        <v>67</v>
      </c>
      <c r="D50" s="12"/>
      <c r="E50" s="28"/>
      <c r="F50" s="12"/>
      <c r="G50" s="12"/>
      <c r="H50" s="28"/>
      <c r="I50" s="28"/>
      <c r="J50" s="334"/>
      <c r="K50" s="120"/>
      <c r="L50" s="103" t="s">
        <v>127</v>
      </c>
      <c r="M50" s="12"/>
      <c r="N50" s="28"/>
      <c r="O50" s="12"/>
      <c r="P50" s="12"/>
      <c r="Q50" s="28"/>
      <c r="R50" s="121"/>
      <c r="S50" s="36"/>
      <c r="T50" s="29"/>
      <c r="U50" s="517"/>
      <c r="V50" s="502"/>
      <c r="W50" s="499">
        <f>IF(Q3="直島町",0,COUNTIF(P13,"○"))</f>
        <v>0</v>
      </c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03"/>
    </row>
    <row r="51" spans="2:34" s="8" customFormat="1" ht="15.5" thickBot="1" x14ac:dyDescent="0.35">
      <c r="B51" s="292"/>
      <c r="C51" s="587" t="s">
        <v>61</v>
      </c>
      <c r="D51" s="587"/>
      <c r="E51" s="493">
        <f>SUM(E13:E43)*U16</f>
        <v>0</v>
      </c>
      <c r="F51" s="587" t="s">
        <v>62</v>
      </c>
      <c r="G51" s="587"/>
      <c r="H51" s="493">
        <f>SUM(H13:H41)</f>
        <v>0</v>
      </c>
      <c r="I51" s="7"/>
      <c r="J51" s="339"/>
      <c r="K51" s="292"/>
      <c r="L51" s="578" t="s">
        <v>70</v>
      </c>
      <c r="M51" s="579"/>
      <c r="N51" s="493">
        <f>SUM(N13:N43)*U16</f>
        <v>0</v>
      </c>
      <c r="O51" s="578" t="s">
        <v>71</v>
      </c>
      <c r="P51" s="579"/>
      <c r="Q51" s="493">
        <f>SUM(Q13:Q40)</f>
        <v>0</v>
      </c>
      <c r="R51" s="122"/>
      <c r="S51" s="35"/>
      <c r="T51" s="7"/>
      <c r="U51" s="522"/>
      <c r="V51" s="504">
        <v>43062</v>
      </c>
      <c r="W51" s="499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</row>
    <row r="52" spans="2:34" s="8" customFormat="1" x14ac:dyDescent="0.3">
      <c r="B52" s="293"/>
      <c r="C52" s="574" t="s">
        <v>63</v>
      </c>
      <c r="D52" s="574"/>
      <c r="E52" s="494">
        <f>(31-E53)*U16</f>
        <v>31</v>
      </c>
      <c r="F52" s="574" t="s">
        <v>65</v>
      </c>
      <c r="G52" s="574"/>
      <c r="H52" s="494">
        <f>29-H53</f>
        <v>29</v>
      </c>
      <c r="I52" s="7"/>
      <c r="J52" s="339"/>
      <c r="K52" s="293"/>
      <c r="L52" s="582" t="s">
        <v>63</v>
      </c>
      <c r="M52" s="583"/>
      <c r="N52" s="498">
        <f>(31-N53)*U16</f>
        <v>31</v>
      </c>
      <c r="O52" s="582" t="s">
        <v>65</v>
      </c>
      <c r="P52" s="583"/>
      <c r="Q52" s="498">
        <f>28-Q53</f>
        <v>28</v>
      </c>
      <c r="R52" s="121"/>
      <c r="S52" s="35"/>
      <c r="T52" s="7"/>
      <c r="U52" s="522"/>
      <c r="V52" s="504"/>
      <c r="W52" s="499" t="s">
        <v>172</v>
      </c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</row>
    <row r="53" spans="2:34" s="8" customFormat="1" ht="16" x14ac:dyDescent="0.3">
      <c r="B53" s="293"/>
      <c r="C53" s="574" t="s">
        <v>64</v>
      </c>
      <c r="D53" s="574"/>
      <c r="E53" s="495">
        <f>COUNTIF(D13:D43,"○")*U16</f>
        <v>0</v>
      </c>
      <c r="F53" s="574" t="s">
        <v>66</v>
      </c>
      <c r="G53" s="574"/>
      <c r="H53" s="494">
        <f>COUNTIF(G13:G41,"○")</f>
        <v>0</v>
      </c>
      <c r="I53" s="7"/>
      <c r="J53" s="339"/>
      <c r="K53" s="293"/>
      <c r="L53" s="582" t="s">
        <v>64</v>
      </c>
      <c r="M53" s="583"/>
      <c r="N53" s="495">
        <f>COUNTIF(M13:M43,"○")*U16</f>
        <v>0</v>
      </c>
      <c r="O53" s="584" t="s">
        <v>66</v>
      </c>
      <c r="P53" s="583"/>
      <c r="Q53" s="494">
        <f>COUNTIF(P13:P40,"○")</f>
        <v>0</v>
      </c>
      <c r="R53" s="121"/>
      <c r="S53" s="35"/>
      <c r="T53" s="7"/>
      <c r="U53" s="522"/>
      <c r="V53" s="504"/>
      <c r="W53" s="507">
        <f>COUNTIF(P14:P25,"○")</f>
        <v>0</v>
      </c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</row>
    <row r="54" spans="2:34" ht="16" x14ac:dyDescent="0.3">
      <c r="B54" s="294"/>
      <c r="C54" s="569" t="s">
        <v>76</v>
      </c>
      <c r="D54" s="585"/>
      <c r="E54" s="585"/>
      <c r="F54" s="585"/>
      <c r="G54" s="586"/>
      <c r="H54" s="496">
        <f>E51+H51</f>
        <v>0</v>
      </c>
      <c r="I54" s="58"/>
      <c r="J54" s="341"/>
      <c r="K54" s="294"/>
      <c r="L54" s="569" t="s">
        <v>78</v>
      </c>
      <c r="M54" s="585"/>
      <c r="N54" s="585"/>
      <c r="O54" s="585"/>
      <c r="P54" s="586"/>
      <c r="Q54" s="496">
        <f>N51+Q51</f>
        <v>0</v>
      </c>
      <c r="R54" s="343"/>
      <c r="S54" s="345"/>
      <c r="T54" s="381"/>
      <c r="U54" s="501"/>
      <c r="V54" s="504">
        <v>43108</v>
      </c>
      <c r="W54" s="506" t="s">
        <v>171</v>
      </c>
    </row>
    <row r="55" spans="2:34" ht="16" x14ac:dyDescent="0.3">
      <c r="B55" s="294"/>
      <c r="C55" s="572" t="s">
        <v>68</v>
      </c>
      <c r="D55" s="573"/>
      <c r="E55" s="573"/>
      <c r="F55" s="573"/>
      <c r="G55" s="573"/>
      <c r="H55" s="497">
        <f>E52+H52</f>
        <v>60</v>
      </c>
      <c r="I55" s="37"/>
      <c r="J55" s="340"/>
      <c r="K55" s="294"/>
      <c r="L55" s="572" t="s">
        <v>68</v>
      </c>
      <c r="M55" s="573"/>
      <c r="N55" s="580"/>
      <c r="O55" s="580"/>
      <c r="P55" s="580"/>
      <c r="Q55" s="497">
        <f>N52+Q52</f>
        <v>59</v>
      </c>
      <c r="R55" s="123"/>
      <c r="V55" s="504">
        <v>43108</v>
      </c>
      <c r="W55" s="512">
        <f>W50+W53</f>
        <v>0</v>
      </c>
    </row>
    <row r="56" spans="2:34" x14ac:dyDescent="0.3">
      <c r="B56" s="294"/>
      <c r="C56" s="572" t="s">
        <v>24</v>
      </c>
      <c r="D56" s="573"/>
      <c r="E56" s="573"/>
      <c r="F56" s="573"/>
      <c r="G56" s="573"/>
      <c r="H56" s="496">
        <f>ROUNDUP(H54/H55,0)</f>
        <v>0</v>
      </c>
      <c r="I56" s="37"/>
      <c r="J56" s="340"/>
      <c r="K56" s="294"/>
      <c r="L56" s="572" t="s">
        <v>25</v>
      </c>
      <c r="M56" s="581"/>
      <c r="N56" s="581"/>
      <c r="O56" s="573"/>
      <c r="P56" s="573"/>
      <c r="Q56" s="496">
        <f>ROUNDUP(Q54/Q55,0)</f>
        <v>0</v>
      </c>
      <c r="R56" s="123"/>
      <c r="V56" s="504">
        <v>43108</v>
      </c>
    </row>
    <row r="57" spans="2:34" x14ac:dyDescent="0.3">
      <c r="B57" s="294"/>
      <c r="C57" s="569" t="s">
        <v>192</v>
      </c>
      <c r="D57" s="570"/>
      <c r="E57" s="570"/>
      <c r="F57" s="570"/>
      <c r="G57" s="571"/>
      <c r="H57" s="663">
        <v>0.3</v>
      </c>
      <c r="I57" s="37"/>
      <c r="J57" s="340"/>
      <c r="K57" s="294"/>
      <c r="L57" s="569" t="s">
        <v>193</v>
      </c>
      <c r="M57" s="570"/>
      <c r="N57" s="570"/>
      <c r="O57" s="570"/>
      <c r="P57" s="571"/>
      <c r="Q57" s="663">
        <v>0.3</v>
      </c>
      <c r="R57" s="123"/>
      <c r="V57" s="504"/>
    </row>
    <row r="58" spans="2:34" ht="16" x14ac:dyDescent="0.3">
      <c r="B58" s="294"/>
      <c r="C58" s="572" t="s">
        <v>196</v>
      </c>
      <c r="D58" s="573"/>
      <c r="E58" s="573"/>
      <c r="F58" s="573"/>
      <c r="G58" s="573"/>
      <c r="H58" s="497">
        <f>ROUNDUP((+H56*H57),-3)</f>
        <v>0</v>
      </c>
      <c r="I58" s="37"/>
      <c r="J58" s="340"/>
      <c r="K58" s="294"/>
      <c r="L58" s="572" t="s">
        <v>196</v>
      </c>
      <c r="M58" s="573"/>
      <c r="N58" s="573"/>
      <c r="O58" s="573"/>
      <c r="P58" s="573"/>
      <c r="Q58" s="497">
        <f>ROUNDUP((+Q56*Q57),-3)</f>
        <v>0</v>
      </c>
      <c r="R58" s="123"/>
      <c r="V58" s="504"/>
    </row>
    <row r="59" spans="2:34" ht="14" thickBot="1" x14ac:dyDescent="0.35">
      <c r="B59" s="175"/>
      <c r="C59" s="103"/>
      <c r="D59" s="11"/>
      <c r="E59" s="59"/>
      <c r="F59" s="39"/>
      <c r="G59" s="39"/>
      <c r="H59" s="40" t="s">
        <v>9</v>
      </c>
      <c r="I59" s="176"/>
      <c r="J59" s="340"/>
      <c r="K59" s="110"/>
      <c r="L59" s="11"/>
      <c r="M59" s="11"/>
      <c r="N59" s="59"/>
      <c r="O59" s="11"/>
      <c r="P59" s="11"/>
      <c r="Q59" s="59" t="s">
        <v>9</v>
      </c>
      <c r="R59" s="177"/>
      <c r="U59" s="518">
        <f>SUM(E33:E36)</f>
        <v>0</v>
      </c>
      <c r="V59" s="504">
        <v>43142</v>
      </c>
    </row>
    <row r="60" spans="2:34" ht="15" x14ac:dyDescent="0.3">
      <c r="B60" s="297" t="s">
        <v>6</v>
      </c>
      <c r="C60" s="38"/>
      <c r="D60" s="38"/>
      <c r="E60" s="38"/>
      <c r="F60" s="11"/>
      <c r="G60" s="11"/>
      <c r="H60" s="11"/>
      <c r="J60" s="337"/>
      <c r="K60" s="295" t="s">
        <v>6</v>
      </c>
      <c r="L60" s="38"/>
      <c r="M60" s="38"/>
      <c r="N60" s="38"/>
      <c r="O60" s="38"/>
      <c r="P60" s="38"/>
      <c r="Q60" s="38"/>
      <c r="R60" s="123"/>
      <c r="V60" s="504"/>
    </row>
    <row r="61" spans="2:34" ht="34.5" customHeight="1" x14ac:dyDescent="0.3">
      <c r="B61" s="110"/>
      <c r="C61" s="575" t="s">
        <v>143</v>
      </c>
      <c r="D61" s="576"/>
      <c r="E61" s="576"/>
      <c r="F61" s="576"/>
      <c r="G61" s="576"/>
      <c r="H61" s="576"/>
      <c r="I61" s="577"/>
      <c r="J61" s="337"/>
      <c r="K61" s="110"/>
      <c r="L61" s="575" t="s">
        <v>142</v>
      </c>
      <c r="M61" s="576"/>
      <c r="N61" s="576"/>
      <c r="O61" s="576"/>
      <c r="P61" s="576"/>
      <c r="Q61" s="576"/>
      <c r="R61" s="577"/>
      <c r="U61" s="499" t="s">
        <v>173</v>
      </c>
      <c r="V61" s="504">
        <v>43143</v>
      </c>
    </row>
    <row r="62" spans="2:34" ht="14" thickBot="1" x14ac:dyDescent="0.35">
      <c r="B62" s="291"/>
      <c r="C62" s="299" t="s">
        <v>128</v>
      </c>
      <c r="D62" s="11"/>
      <c r="E62" s="13"/>
      <c r="F62" s="26"/>
      <c r="G62" s="11"/>
      <c r="H62" s="11"/>
      <c r="J62" s="337"/>
      <c r="K62" s="291"/>
      <c r="L62" s="299" t="s">
        <v>129</v>
      </c>
      <c r="M62" s="13"/>
      <c r="N62" s="26"/>
      <c r="O62" s="13"/>
      <c r="P62" s="13"/>
      <c r="Q62" s="26"/>
      <c r="R62" s="123"/>
      <c r="U62" s="499" t="s">
        <v>169</v>
      </c>
      <c r="V62" s="504"/>
      <c r="W62" s="499" t="s">
        <v>170</v>
      </c>
    </row>
    <row r="63" spans="2:34" ht="15.5" thickBot="1" x14ac:dyDescent="0.35">
      <c r="B63" s="292"/>
      <c r="C63" s="578" t="s">
        <v>72</v>
      </c>
      <c r="D63" s="579"/>
      <c r="E63" s="493">
        <f>U71</f>
        <v>0</v>
      </c>
      <c r="F63" s="578" t="s">
        <v>73</v>
      </c>
      <c r="G63" s="579"/>
      <c r="H63" s="493">
        <f>W68</f>
        <v>0</v>
      </c>
      <c r="I63" s="344"/>
      <c r="J63" s="337"/>
      <c r="K63" s="292"/>
      <c r="L63" s="578" t="s">
        <v>74</v>
      </c>
      <c r="M63" s="579"/>
      <c r="N63" s="493">
        <f>U82</f>
        <v>0</v>
      </c>
      <c r="O63" s="578" t="s">
        <v>75</v>
      </c>
      <c r="P63" s="579"/>
      <c r="Q63" s="493">
        <f>W79</f>
        <v>0</v>
      </c>
      <c r="R63" s="343"/>
      <c r="S63" s="345"/>
      <c r="T63" s="381"/>
      <c r="U63" s="499" t="s">
        <v>159</v>
      </c>
      <c r="V63" s="504">
        <v>43092</v>
      </c>
      <c r="W63" s="517" t="s">
        <v>165</v>
      </c>
    </row>
    <row r="64" spans="2:34" x14ac:dyDescent="0.3">
      <c r="B64" s="293"/>
      <c r="C64" s="574" t="s">
        <v>63</v>
      </c>
      <c r="D64" s="574"/>
      <c r="E64" s="498">
        <f>U29-E65</f>
        <v>7</v>
      </c>
      <c r="F64" s="574" t="s">
        <v>65</v>
      </c>
      <c r="G64" s="574"/>
      <c r="H64" s="498">
        <f>W22-H65</f>
        <v>13</v>
      </c>
      <c r="I64" s="25"/>
      <c r="J64" s="338"/>
      <c r="K64" s="293"/>
      <c r="L64" s="574" t="s">
        <v>63</v>
      </c>
      <c r="M64" s="574"/>
      <c r="N64" s="498">
        <f>U29-N65</f>
        <v>7</v>
      </c>
      <c r="O64" s="574" t="s">
        <v>65</v>
      </c>
      <c r="P64" s="574"/>
      <c r="Q64" s="498">
        <f>W22-Q65</f>
        <v>13</v>
      </c>
      <c r="R64" s="137"/>
      <c r="U64" s="499">
        <f>IF(Q3="綾川町・まんのう町",0,SUM(E33:E36))</f>
        <v>0</v>
      </c>
      <c r="V64" s="504"/>
      <c r="W64" s="499">
        <f>IF(Q3="直島町",0,H13)</f>
        <v>0</v>
      </c>
    </row>
    <row r="65" spans="2:34" s="8" customFormat="1" x14ac:dyDescent="0.3">
      <c r="B65" s="293"/>
      <c r="C65" s="574" t="s">
        <v>64</v>
      </c>
      <c r="D65" s="574"/>
      <c r="E65" s="494">
        <f>U17</f>
        <v>0</v>
      </c>
      <c r="F65" s="574" t="s">
        <v>66</v>
      </c>
      <c r="G65" s="574"/>
      <c r="H65" s="494">
        <f>W31</f>
        <v>0</v>
      </c>
      <c r="I65" s="106"/>
      <c r="J65" s="336"/>
      <c r="K65" s="293"/>
      <c r="L65" s="574" t="s">
        <v>64</v>
      </c>
      <c r="M65" s="574"/>
      <c r="N65" s="494">
        <f>W44</f>
        <v>0</v>
      </c>
      <c r="O65" s="574" t="s">
        <v>66</v>
      </c>
      <c r="P65" s="574"/>
      <c r="Q65" s="494">
        <f>W55</f>
        <v>0</v>
      </c>
      <c r="R65" s="122"/>
      <c r="S65" s="35"/>
      <c r="T65" s="7"/>
      <c r="U65" s="499" t="s">
        <v>163</v>
      </c>
      <c r="V65" s="504">
        <v>43062</v>
      </c>
      <c r="W65" s="499" t="s">
        <v>172</v>
      </c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</row>
    <row r="66" spans="2:34" s="8" customFormat="1" x14ac:dyDescent="0.3">
      <c r="B66" s="294"/>
      <c r="C66" s="569" t="s">
        <v>139</v>
      </c>
      <c r="D66" s="570"/>
      <c r="E66" s="570"/>
      <c r="F66" s="570"/>
      <c r="G66" s="571"/>
      <c r="H66" s="496">
        <f>E63+H63</f>
        <v>0</v>
      </c>
      <c r="I66" s="58"/>
      <c r="J66" s="341"/>
      <c r="K66" s="294"/>
      <c r="L66" s="569" t="s">
        <v>141</v>
      </c>
      <c r="M66" s="570"/>
      <c r="N66" s="570"/>
      <c r="O66" s="570"/>
      <c r="P66" s="571"/>
      <c r="Q66" s="496">
        <f>N63+Q63</f>
        <v>0</v>
      </c>
      <c r="R66" s="121"/>
      <c r="S66" s="35"/>
      <c r="T66" s="7"/>
      <c r="U66" s="516">
        <f>SUM(E37:E43)</f>
        <v>0</v>
      </c>
      <c r="V66" s="504"/>
      <c r="W66" s="516">
        <f>SUM(H14:H25)</f>
        <v>0</v>
      </c>
      <c r="X66" s="511"/>
      <c r="Y66" s="511"/>
      <c r="Z66" s="511"/>
      <c r="AA66" s="511"/>
      <c r="AB66" s="511"/>
      <c r="AC66" s="511"/>
      <c r="AD66" s="511"/>
      <c r="AE66" s="511"/>
      <c r="AF66" s="511"/>
      <c r="AG66" s="511"/>
      <c r="AH66" s="511"/>
    </row>
    <row r="67" spans="2:34" s="27" customFormat="1" ht="13.5" customHeight="1" x14ac:dyDescent="0.3">
      <c r="B67" s="294"/>
      <c r="C67" s="572" t="s">
        <v>146</v>
      </c>
      <c r="D67" s="573"/>
      <c r="E67" s="573"/>
      <c r="F67" s="573"/>
      <c r="G67" s="573"/>
      <c r="H67" s="497">
        <f>E64+H64</f>
        <v>20</v>
      </c>
      <c r="I67" s="28"/>
      <c r="J67" s="334"/>
      <c r="K67" s="294"/>
      <c r="L67" s="572" t="s">
        <v>147</v>
      </c>
      <c r="M67" s="573"/>
      <c r="N67" s="573"/>
      <c r="O67" s="573"/>
      <c r="P67" s="573"/>
      <c r="Q67" s="497">
        <f>N64+Q64</f>
        <v>20</v>
      </c>
      <c r="R67" s="121"/>
      <c r="S67" s="36"/>
      <c r="T67" s="29"/>
      <c r="U67" s="517" t="s">
        <v>171</v>
      </c>
      <c r="V67" s="502"/>
      <c r="W67" s="517" t="s">
        <v>171</v>
      </c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</row>
    <row r="68" spans="2:34" s="27" customFormat="1" ht="13.5" customHeight="1" x14ac:dyDescent="0.3">
      <c r="B68" s="294"/>
      <c r="C68" s="572" t="s">
        <v>24</v>
      </c>
      <c r="D68" s="573"/>
      <c r="E68" s="573"/>
      <c r="F68" s="573"/>
      <c r="G68" s="573"/>
      <c r="H68" s="496">
        <f>ROUNDUP(H66/H67,0)</f>
        <v>0</v>
      </c>
      <c r="I68" s="121"/>
      <c r="J68" s="28"/>
      <c r="K68" s="294"/>
      <c r="L68" s="572" t="s">
        <v>25</v>
      </c>
      <c r="M68" s="573"/>
      <c r="N68" s="573"/>
      <c r="O68" s="573"/>
      <c r="P68" s="573"/>
      <c r="Q68" s="496">
        <f>ROUNDUP(Q66/Q67,0)</f>
        <v>0</v>
      </c>
      <c r="R68" s="121"/>
      <c r="S68" s="36"/>
      <c r="T68" s="29"/>
      <c r="U68" s="518">
        <f>U64+U66</f>
        <v>0</v>
      </c>
      <c r="V68" s="502"/>
      <c r="W68" s="518">
        <f>W64+W66</f>
        <v>0</v>
      </c>
      <c r="X68" s="503"/>
      <c r="Y68" s="503"/>
      <c r="Z68" s="503"/>
      <c r="AA68" s="503"/>
      <c r="AB68" s="503"/>
      <c r="AC68" s="503"/>
      <c r="AD68" s="503"/>
      <c r="AE68" s="503"/>
      <c r="AF68" s="503"/>
      <c r="AG68" s="503"/>
      <c r="AH68" s="503"/>
    </row>
    <row r="69" spans="2:34" s="27" customFormat="1" ht="13.5" customHeight="1" x14ac:dyDescent="0.3">
      <c r="B69" s="294"/>
      <c r="C69" s="569" t="s">
        <v>192</v>
      </c>
      <c r="D69" s="570"/>
      <c r="E69" s="570"/>
      <c r="F69" s="570"/>
      <c r="G69" s="571"/>
      <c r="H69" s="663">
        <v>0.3</v>
      </c>
      <c r="I69" s="121"/>
      <c r="J69" s="28"/>
      <c r="K69" s="294"/>
      <c r="L69" s="569" t="s">
        <v>192</v>
      </c>
      <c r="M69" s="570"/>
      <c r="N69" s="570"/>
      <c r="O69" s="570"/>
      <c r="P69" s="571"/>
      <c r="Q69" s="663">
        <v>0.3</v>
      </c>
      <c r="R69" s="121"/>
      <c r="S69" s="36"/>
      <c r="T69" s="29"/>
      <c r="U69" s="517" t="s">
        <v>165</v>
      </c>
      <c r="V69" s="502"/>
      <c r="W69" s="517"/>
      <c r="X69" s="503"/>
      <c r="Y69" s="503"/>
      <c r="Z69" s="503"/>
      <c r="AA69" s="503"/>
      <c r="AB69" s="503"/>
      <c r="AC69" s="503"/>
      <c r="AD69" s="503"/>
      <c r="AE69" s="503"/>
      <c r="AF69" s="503"/>
      <c r="AG69" s="503"/>
      <c r="AH69" s="503"/>
    </row>
    <row r="70" spans="2:34" s="27" customFormat="1" ht="13.5" customHeight="1" x14ac:dyDescent="0.3">
      <c r="B70" s="294"/>
      <c r="C70" s="572" t="s">
        <v>196</v>
      </c>
      <c r="D70" s="573"/>
      <c r="E70" s="573"/>
      <c r="F70" s="573"/>
      <c r="G70" s="573"/>
      <c r="H70" s="497">
        <f>ROUNDUP((+H68*H69),-3)</f>
        <v>0</v>
      </c>
      <c r="I70" s="121"/>
      <c r="J70" s="28"/>
      <c r="K70" s="294"/>
      <c r="L70" s="572" t="s">
        <v>196</v>
      </c>
      <c r="M70" s="573"/>
      <c r="N70" s="573"/>
      <c r="O70" s="573"/>
      <c r="P70" s="573"/>
      <c r="Q70" s="497">
        <f>ROUNDUP((+Q68*Q69),-3)</f>
        <v>0</v>
      </c>
      <c r="R70" s="121"/>
      <c r="S70" s="36"/>
      <c r="T70" s="29"/>
      <c r="U70" s="499">
        <f>IF(Q3="直島町",0,1)</f>
        <v>1</v>
      </c>
      <c r="V70" s="502"/>
      <c r="W70" s="499"/>
      <c r="X70" s="503"/>
      <c r="Y70" s="503"/>
      <c r="Z70" s="503"/>
      <c r="AA70" s="503"/>
      <c r="AB70" s="503"/>
      <c r="AC70" s="503"/>
      <c r="AD70" s="503"/>
      <c r="AE70" s="503"/>
      <c r="AF70" s="503"/>
      <c r="AG70" s="503"/>
      <c r="AH70" s="503"/>
    </row>
    <row r="71" spans="2:34" ht="14" thickBot="1" x14ac:dyDescent="0.35">
      <c r="B71" s="126"/>
      <c r="C71" s="127"/>
      <c r="D71" s="127"/>
      <c r="E71" s="128"/>
      <c r="F71" s="127"/>
      <c r="G71" s="127"/>
      <c r="H71" s="128" t="s">
        <v>9</v>
      </c>
      <c r="I71" s="129"/>
      <c r="J71" s="199"/>
      <c r="K71" s="126"/>
      <c r="L71" s="127"/>
      <c r="M71" s="127"/>
      <c r="N71" s="128"/>
      <c r="O71" s="127"/>
      <c r="P71" s="127"/>
      <c r="Q71" s="128" t="s">
        <v>9</v>
      </c>
      <c r="R71" s="139"/>
      <c r="U71" s="499">
        <f>U68*U70</f>
        <v>0</v>
      </c>
      <c r="V71" s="504">
        <v>43108</v>
      </c>
    </row>
    <row r="72" spans="2:34" x14ac:dyDescent="0.3">
      <c r="C72" s="308"/>
      <c r="D72" s="360"/>
      <c r="K72" s="308"/>
      <c r="U72" s="499" t="s">
        <v>37</v>
      </c>
      <c r="V72" s="504"/>
    </row>
    <row r="73" spans="2:34" x14ac:dyDescent="0.3">
      <c r="U73" s="499" t="s">
        <v>169</v>
      </c>
      <c r="V73" s="504"/>
      <c r="W73" s="499" t="s">
        <v>170</v>
      </c>
    </row>
    <row r="74" spans="2:34" x14ac:dyDescent="0.3">
      <c r="U74" s="499" t="s">
        <v>159</v>
      </c>
      <c r="V74" s="504">
        <v>43092</v>
      </c>
      <c r="W74" s="517" t="s">
        <v>165</v>
      </c>
    </row>
    <row r="75" spans="2:34" x14ac:dyDescent="0.3">
      <c r="U75" s="499">
        <f>IF(Q3="綾川町・まんのう町",0,SUM(N33:N36))</f>
        <v>0</v>
      </c>
      <c r="V75" s="504"/>
      <c r="W75" s="499">
        <f>IF(Q3="直島町",0,Q13)</f>
        <v>0</v>
      </c>
    </row>
    <row r="76" spans="2:34" x14ac:dyDescent="0.3">
      <c r="U76" s="499" t="s">
        <v>163</v>
      </c>
      <c r="V76" s="504">
        <v>43062</v>
      </c>
      <c r="W76" s="499" t="s">
        <v>172</v>
      </c>
    </row>
    <row r="77" spans="2:34" x14ac:dyDescent="0.3">
      <c r="U77" s="516">
        <f>SUM(N37:N43)</f>
        <v>0</v>
      </c>
      <c r="V77" s="504"/>
      <c r="W77" s="516">
        <f>SUM(Q14:Q25)</f>
        <v>0</v>
      </c>
    </row>
    <row r="78" spans="2:34" x14ac:dyDescent="0.3">
      <c r="U78" s="517" t="s">
        <v>171</v>
      </c>
      <c r="V78" s="502"/>
      <c r="W78" s="517" t="s">
        <v>171</v>
      </c>
    </row>
    <row r="79" spans="2:34" x14ac:dyDescent="0.3">
      <c r="U79" s="518">
        <f>U75+U77</f>
        <v>0</v>
      </c>
      <c r="V79" s="502"/>
      <c r="W79" s="518">
        <f>W75+W77</f>
        <v>0</v>
      </c>
    </row>
    <row r="80" spans="2:34" x14ac:dyDescent="0.3">
      <c r="U80" s="517" t="s">
        <v>165</v>
      </c>
      <c r="V80" s="502"/>
      <c r="W80" s="517"/>
    </row>
    <row r="81" spans="21:22" x14ac:dyDescent="0.3">
      <c r="U81" s="499">
        <f>IF(Q3="直島町",0,1)</f>
        <v>1</v>
      </c>
      <c r="V81" s="502"/>
    </row>
    <row r="82" spans="21:22" x14ac:dyDescent="0.3">
      <c r="U82" s="499">
        <f>U79*U81</f>
        <v>0</v>
      </c>
      <c r="V82" s="504">
        <v>43108</v>
      </c>
    </row>
    <row r="83" spans="21:22" x14ac:dyDescent="0.3">
      <c r="V83" s="504">
        <v>43427</v>
      </c>
    </row>
    <row r="84" spans="21:22" x14ac:dyDescent="0.3">
      <c r="V84" s="504">
        <v>43457</v>
      </c>
    </row>
    <row r="85" spans="21:22" x14ac:dyDescent="0.3">
      <c r="V85" s="504">
        <v>43458</v>
      </c>
    </row>
    <row r="86" spans="21:22" x14ac:dyDescent="0.3">
      <c r="V86" s="523">
        <v>43466</v>
      </c>
    </row>
    <row r="87" spans="21:22" x14ac:dyDescent="0.3">
      <c r="V87" s="523">
        <v>43479</v>
      </c>
    </row>
    <row r="88" spans="21:22" x14ac:dyDescent="0.3">
      <c r="V88" s="523">
        <v>43507</v>
      </c>
    </row>
    <row r="89" spans="21:22" x14ac:dyDescent="0.3">
      <c r="V89" s="523">
        <v>43545</v>
      </c>
    </row>
    <row r="90" spans="21:22" x14ac:dyDescent="0.3">
      <c r="V90" s="523">
        <v>43584</v>
      </c>
    </row>
    <row r="91" spans="21:22" x14ac:dyDescent="0.3">
      <c r="V91" s="523">
        <v>43588</v>
      </c>
    </row>
    <row r="92" spans="21:22" x14ac:dyDescent="0.3">
      <c r="V92" s="523">
        <v>43589</v>
      </c>
    </row>
    <row r="93" spans="21:22" x14ac:dyDescent="0.3">
      <c r="V93" s="523">
        <v>43590</v>
      </c>
    </row>
    <row r="94" spans="21:22" x14ac:dyDescent="0.3">
      <c r="V94" s="523">
        <v>43591</v>
      </c>
    </row>
    <row r="95" spans="21:22" x14ac:dyDescent="0.3">
      <c r="V95" s="523">
        <v>43661</v>
      </c>
    </row>
    <row r="96" spans="21:22" x14ac:dyDescent="0.3">
      <c r="V96" s="523">
        <v>43688</v>
      </c>
    </row>
    <row r="97" spans="22:22" x14ac:dyDescent="0.3">
      <c r="V97" s="523">
        <v>43689</v>
      </c>
    </row>
    <row r="98" spans="22:22" x14ac:dyDescent="0.3">
      <c r="V98" s="523">
        <v>43724</v>
      </c>
    </row>
    <row r="99" spans="22:22" x14ac:dyDescent="0.3">
      <c r="V99" s="523">
        <v>43731</v>
      </c>
    </row>
    <row r="100" spans="22:22" x14ac:dyDescent="0.3">
      <c r="V100" s="523">
        <v>43752</v>
      </c>
    </row>
    <row r="101" spans="22:22" x14ac:dyDescent="0.3">
      <c r="V101" s="523">
        <v>43772</v>
      </c>
    </row>
    <row r="102" spans="22:22" x14ac:dyDescent="0.3">
      <c r="V102" s="523">
        <v>43773</v>
      </c>
    </row>
    <row r="103" spans="22:22" x14ac:dyDescent="0.3">
      <c r="V103" s="523">
        <v>43792</v>
      </c>
    </row>
    <row r="104" spans="22:22" x14ac:dyDescent="0.3">
      <c r="V104" s="523">
        <v>43822</v>
      </c>
    </row>
    <row r="105" spans="22:22" x14ac:dyDescent="0.3">
      <c r="V105" s="523">
        <v>43831</v>
      </c>
    </row>
    <row r="106" spans="22:22" x14ac:dyDescent="0.3">
      <c r="V106" s="523">
        <v>43843</v>
      </c>
    </row>
    <row r="107" spans="22:22" x14ac:dyDescent="0.3">
      <c r="V107" s="523">
        <v>43872</v>
      </c>
    </row>
    <row r="108" spans="22:22" x14ac:dyDescent="0.3">
      <c r="V108" s="523">
        <v>43885</v>
      </c>
    </row>
    <row r="109" spans="22:22" x14ac:dyDescent="0.3">
      <c r="V109" s="523">
        <v>43910</v>
      </c>
    </row>
    <row r="110" spans="22:22" x14ac:dyDescent="0.3">
      <c r="V110" s="523">
        <v>43950</v>
      </c>
    </row>
    <row r="111" spans="22:22" x14ac:dyDescent="0.3">
      <c r="V111" s="523">
        <v>43954</v>
      </c>
    </row>
    <row r="112" spans="22:22" x14ac:dyDescent="0.3">
      <c r="V112" s="523">
        <v>43955</v>
      </c>
    </row>
    <row r="113" spans="22:22" x14ac:dyDescent="0.3">
      <c r="V113" s="523">
        <v>43956</v>
      </c>
    </row>
    <row r="114" spans="22:22" x14ac:dyDescent="0.3">
      <c r="V114" s="523">
        <v>43957</v>
      </c>
    </row>
    <row r="115" spans="22:22" x14ac:dyDescent="0.3">
      <c r="V115" s="523">
        <v>44035</v>
      </c>
    </row>
    <row r="116" spans="22:22" x14ac:dyDescent="0.3">
      <c r="V116" s="523">
        <v>44036</v>
      </c>
    </row>
    <row r="117" spans="22:22" x14ac:dyDescent="0.3">
      <c r="V117" s="523">
        <v>44053</v>
      </c>
    </row>
    <row r="118" spans="22:22" x14ac:dyDescent="0.3">
      <c r="V118" s="523">
        <v>44095</v>
      </c>
    </row>
    <row r="119" spans="22:22" x14ac:dyDescent="0.3">
      <c r="V119" s="523">
        <v>44096</v>
      </c>
    </row>
    <row r="120" spans="22:22" x14ac:dyDescent="0.3">
      <c r="V120" s="523">
        <v>44138</v>
      </c>
    </row>
    <row r="121" spans="22:22" x14ac:dyDescent="0.3">
      <c r="V121" s="523">
        <v>44158</v>
      </c>
    </row>
    <row r="122" spans="22:22" x14ac:dyDescent="0.3">
      <c r="V122" s="523">
        <v>44197</v>
      </c>
    </row>
    <row r="123" spans="22:22" x14ac:dyDescent="0.3">
      <c r="V123" s="523">
        <v>44207</v>
      </c>
    </row>
    <row r="124" spans="22:22" x14ac:dyDescent="0.3">
      <c r="V124" s="523">
        <v>44238</v>
      </c>
    </row>
    <row r="125" spans="22:22" x14ac:dyDescent="0.3">
      <c r="V125" s="523">
        <v>44250</v>
      </c>
    </row>
    <row r="126" spans="22:22" x14ac:dyDescent="0.3">
      <c r="V126" s="523">
        <v>44275</v>
      </c>
    </row>
    <row r="127" spans="22:22" x14ac:dyDescent="0.3">
      <c r="V127" s="523">
        <v>44315</v>
      </c>
    </row>
    <row r="128" spans="22:22" x14ac:dyDescent="0.3">
      <c r="V128" s="523">
        <v>44319</v>
      </c>
    </row>
    <row r="129" spans="22:22" x14ac:dyDescent="0.3">
      <c r="V129" s="523">
        <v>44320</v>
      </c>
    </row>
    <row r="130" spans="22:22" x14ac:dyDescent="0.3">
      <c r="V130" s="523">
        <v>44321</v>
      </c>
    </row>
    <row r="131" spans="22:22" x14ac:dyDescent="0.3">
      <c r="V131" s="523">
        <v>44396</v>
      </c>
    </row>
    <row r="132" spans="22:22" x14ac:dyDescent="0.3">
      <c r="V132" s="523">
        <v>44419</v>
      </c>
    </row>
    <row r="133" spans="22:22" x14ac:dyDescent="0.3">
      <c r="V133" s="523">
        <v>44459</v>
      </c>
    </row>
    <row r="134" spans="22:22" x14ac:dyDescent="0.3">
      <c r="V134" s="523">
        <v>44462</v>
      </c>
    </row>
    <row r="135" spans="22:22" x14ac:dyDescent="0.3">
      <c r="V135" s="523">
        <v>44480</v>
      </c>
    </row>
    <row r="136" spans="22:22" x14ac:dyDescent="0.3">
      <c r="V136" s="523">
        <v>44503</v>
      </c>
    </row>
    <row r="137" spans="22:22" x14ac:dyDescent="0.3">
      <c r="V137" s="523">
        <v>44523</v>
      </c>
    </row>
    <row r="138" spans="22:22" x14ac:dyDescent="0.3">
      <c r="V138" s="523">
        <v>44562</v>
      </c>
    </row>
    <row r="139" spans="22:22" x14ac:dyDescent="0.3">
      <c r="V139" s="523">
        <v>44571</v>
      </c>
    </row>
    <row r="140" spans="22:22" x14ac:dyDescent="0.3">
      <c r="V140" s="523">
        <v>44603</v>
      </c>
    </row>
    <row r="141" spans="22:22" x14ac:dyDescent="0.3">
      <c r="V141" s="523">
        <v>44615</v>
      </c>
    </row>
    <row r="142" spans="22:22" x14ac:dyDescent="0.3">
      <c r="V142" s="523">
        <v>44641</v>
      </c>
    </row>
    <row r="143" spans="22:22" x14ac:dyDescent="0.3">
      <c r="V143" s="523">
        <v>44680</v>
      </c>
    </row>
    <row r="144" spans="22:22" x14ac:dyDescent="0.3">
      <c r="V144" s="523">
        <v>44684</v>
      </c>
    </row>
    <row r="145" spans="22:22" x14ac:dyDescent="0.3">
      <c r="V145" s="523">
        <v>44685</v>
      </c>
    </row>
    <row r="146" spans="22:22" x14ac:dyDescent="0.3">
      <c r="V146" s="523">
        <v>44686</v>
      </c>
    </row>
    <row r="147" spans="22:22" x14ac:dyDescent="0.3">
      <c r="V147" s="523">
        <v>44760</v>
      </c>
    </row>
    <row r="148" spans="22:22" x14ac:dyDescent="0.3">
      <c r="V148" s="523">
        <v>44784</v>
      </c>
    </row>
    <row r="149" spans="22:22" x14ac:dyDescent="0.3">
      <c r="V149" s="523">
        <v>44823</v>
      </c>
    </row>
    <row r="150" spans="22:22" x14ac:dyDescent="0.3">
      <c r="V150" s="523">
        <v>44827</v>
      </c>
    </row>
    <row r="151" spans="22:22" x14ac:dyDescent="0.3">
      <c r="V151" s="523">
        <v>44844</v>
      </c>
    </row>
    <row r="152" spans="22:22" x14ac:dyDescent="0.3">
      <c r="V152" s="523">
        <v>44868</v>
      </c>
    </row>
    <row r="153" spans="22:22" x14ac:dyDescent="0.3">
      <c r="V153" s="523">
        <v>44888</v>
      </c>
    </row>
    <row r="154" spans="22:22" x14ac:dyDescent="0.3">
      <c r="V154" s="523"/>
    </row>
  </sheetData>
  <sheetProtection algorithmName="SHA-512" hashValue="K84kSrF5GbDIxpBgryUI/2qsk+o+rftMp08GgRpjubk1FWX+SWT4xe4gKQn0pt2ppjGXBfivFXk6m/Bbo59EQQ==" saltValue="scKfamjEi/DEhhjEb1zjUg==" spinCount="100000" sheet="1" objects="1" scenarios="1"/>
  <mergeCells count="52">
    <mergeCell ref="A1:S1"/>
    <mergeCell ref="Q3:S3"/>
    <mergeCell ref="C11:E11"/>
    <mergeCell ref="F11:H11"/>
    <mergeCell ref="L11:N11"/>
    <mergeCell ref="O11:Q11"/>
    <mergeCell ref="C51:D51"/>
    <mergeCell ref="F51:G51"/>
    <mergeCell ref="L51:M51"/>
    <mergeCell ref="O51:P51"/>
    <mergeCell ref="C52:D52"/>
    <mergeCell ref="F52:G52"/>
    <mergeCell ref="L52:M52"/>
    <mergeCell ref="O52:P52"/>
    <mergeCell ref="C53:D53"/>
    <mergeCell ref="F53:G53"/>
    <mergeCell ref="L53:M53"/>
    <mergeCell ref="O53:P53"/>
    <mergeCell ref="C54:G54"/>
    <mergeCell ref="L54:P54"/>
    <mergeCell ref="C55:G55"/>
    <mergeCell ref="L55:P55"/>
    <mergeCell ref="C56:G56"/>
    <mergeCell ref="L56:P56"/>
    <mergeCell ref="C57:G57"/>
    <mergeCell ref="L57:P57"/>
    <mergeCell ref="C58:G58"/>
    <mergeCell ref="L58:P58"/>
    <mergeCell ref="C61:I61"/>
    <mergeCell ref="L61:R61"/>
    <mergeCell ref="C63:D63"/>
    <mergeCell ref="F63:G63"/>
    <mergeCell ref="L63:M63"/>
    <mergeCell ref="O63:P63"/>
    <mergeCell ref="C64:D64"/>
    <mergeCell ref="F64:G64"/>
    <mergeCell ref="L64:M64"/>
    <mergeCell ref="O64:P64"/>
    <mergeCell ref="C65:D65"/>
    <mergeCell ref="F65:G65"/>
    <mergeCell ref="L65:M65"/>
    <mergeCell ref="O65:P65"/>
    <mergeCell ref="C69:G69"/>
    <mergeCell ref="L69:P69"/>
    <mergeCell ref="C70:G70"/>
    <mergeCell ref="L70:P70"/>
    <mergeCell ref="C66:G66"/>
    <mergeCell ref="L66:P66"/>
    <mergeCell ref="C67:G67"/>
    <mergeCell ref="L67:P67"/>
    <mergeCell ref="C68:G68"/>
    <mergeCell ref="L68:P68"/>
  </mergeCells>
  <phoneticPr fontId="1"/>
  <conditionalFormatting sqref="C43 C13:C41">
    <cfRule type="expression" dxfId="246" priority="22">
      <formula>TEXT(C13,"aaa")="土"</formula>
    </cfRule>
  </conditionalFormatting>
  <conditionalFormatting sqref="C43 C13:C41">
    <cfRule type="expression" dxfId="245" priority="21">
      <formula>TEXT(C13,"aaa")="日"</formula>
    </cfRule>
  </conditionalFormatting>
  <conditionalFormatting sqref="F43 F13:F41">
    <cfRule type="expression" dxfId="244" priority="20">
      <formula>TEXT(F13,"aaa")="土"</formula>
    </cfRule>
  </conditionalFormatting>
  <conditionalFormatting sqref="F43 F13:F41">
    <cfRule type="expression" dxfId="243" priority="19">
      <formula>TEXT(F13,"aaa")="日"</formula>
    </cfRule>
  </conditionalFormatting>
  <conditionalFormatting sqref="F42">
    <cfRule type="expression" dxfId="242" priority="18">
      <formula>TEXT(F42,"aaa")="土"</formula>
    </cfRule>
  </conditionalFormatting>
  <conditionalFormatting sqref="F42">
    <cfRule type="expression" dxfId="241" priority="17">
      <formula>TEXT(F42,"aaa")="日"</formula>
    </cfRule>
  </conditionalFormatting>
  <conditionalFormatting sqref="L43 L39:L41">
    <cfRule type="expression" dxfId="240" priority="8">
      <formula>TEXT(L39,"aaa")="土"</formula>
    </cfRule>
  </conditionalFormatting>
  <conditionalFormatting sqref="L43 L39:L41">
    <cfRule type="expression" dxfId="239" priority="7">
      <formula>TEXT(L39,"aaa")="日"</formula>
    </cfRule>
  </conditionalFormatting>
  <conditionalFormatting sqref="L42">
    <cfRule type="expression" dxfId="238" priority="6">
      <formula>TEXT(L42,"aaa")="土"</formula>
    </cfRule>
  </conditionalFormatting>
  <conditionalFormatting sqref="L42">
    <cfRule type="expression" dxfId="237" priority="5">
      <formula>TEXT(L42,"aaa")="日"</formula>
    </cfRule>
  </conditionalFormatting>
  <conditionalFormatting sqref="O13:O38 O43">
    <cfRule type="expression" dxfId="236" priority="12">
      <formula>TEXT(O13,"aaa")="土"</formula>
    </cfRule>
  </conditionalFormatting>
  <conditionalFormatting sqref="O13:O38 O43">
    <cfRule type="expression" dxfId="235" priority="11">
      <formula>TEXT(O13,"aaa")="日"</formula>
    </cfRule>
  </conditionalFormatting>
  <conditionalFormatting sqref="O41">
    <cfRule type="expression" dxfId="234" priority="2">
      <formula>TEXT(O41,"aaa")="土"</formula>
    </cfRule>
  </conditionalFormatting>
  <conditionalFormatting sqref="O41">
    <cfRule type="expression" dxfId="233" priority="1">
      <formula>TEXT(O41,"aaa")="日"</formula>
    </cfRule>
  </conditionalFormatting>
  <conditionalFormatting sqref="C42">
    <cfRule type="expression" dxfId="232" priority="16">
      <formula>TEXT(C42,"aaa")="土"</formula>
    </cfRule>
  </conditionalFormatting>
  <conditionalFormatting sqref="C42">
    <cfRule type="expression" dxfId="231" priority="15">
      <formula>TEXT(C42,"aaa")="日"</formula>
    </cfRule>
  </conditionalFormatting>
  <conditionalFormatting sqref="L13:L38">
    <cfRule type="expression" dxfId="230" priority="14">
      <formula>TEXT(L13,"aaa")="土"</formula>
    </cfRule>
  </conditionalFormatting>
  <conditionalFormatting sqref="L13:L38">
    <cfRule type="expression" dxfId="229" priority="13">
      <formula>TEXT(L13,"aaa")="日"</formula>
    </cfRule>
  </conditionalFormatting>
  <conditionalFormatting sqref="O42">
    <cfRule type="expression" dxfId="228" priority="10">
      <formula>TEXT(O42,"aaa")="土"</formula>
    </cfRule>
  </conditionalFormatting>
  <conditionalFormatting sqref="O42">
    <cfRule type="expression" dxfId="227" priority="9">
      <formula>TEXT(O42,"aaa")="日"</formula>
    </cfRule>
  </conditionalFormatting>
  <conditionalFormatting sqref="O39:O40">
    <cfRule type="expression" dxfId="226" priority="4">
      <formula>TEXT(O39,"aaa")="土"</formula>
    </cfRule>
  </conditionalFormatting>
  <conditionalFormatting sqref="O39:O40">
    <cfRule type="expression" dxfId="225" priority="3">
      <formula>TEXT(O39,"aaa")="日"</formula>
    </cfRule>
  </conditionalFormatting>
  <conditionalFormatting sqref="F13:F43 C13:C43 L13:L43 O13:O43">
    <cfRule type="expression" dxfId="224" priority="23">
      <formula>COUNTIF($AM$12:$AM$131,$P13)</formula>
    </cfRule>
  </conditionalFormatting>
  <dataValidations count="3">
    <dataValidation type="list" allowBlank="1" showInputMessage="1" showErrorMessage="1" sqref="Q3:R3">
      <formula1>"綾川町・まんのう町・直島町　以外,綾川町・まんのう町,直島町"</formula1>
    </dataValidation>
    <dataValidation type="list" allowBlank="1" showInputMessage="1" showErrorMessage="1" sqref="H57 Q57 H69 Q69">
      <formula1>"0.4,0.3"</formula1>
    </dataValidation>
    <dataValidation type="list" allowBlank="1" showInputMessage="1" showErrorMessage="1" sqref="M13:M43 D13:D43 G13:G41 P13:P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4" orientation="portrait" r:id="rId1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2" r:id="rId4" name="Check Box 4">
              <controlPr defaultSize="0" autoFill="0" autoLine="0" autoPict="0">
                <anchor moveWithCells="1">
                  <from>
                    <xdr:col>5</xdr:col>
                    <xdr:colOff>381000</xdr:colOff>
                    <xdr:row>5</xdr:row>
                    <xdr:rowOff>101600</xdr:rowOff>
                  </from>
                  <to>
                    <xdr:col>5</xdr:col>
                    <xdr:colOff>558800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5" name="Check Box 5">
              <controlPr defaultSize="0" autoFill="0" autoLine="0" autoPict="0">
                <anchor moveWithCells="1">
                  <from>
                    <xdr:col>12</xdr:col>
                    <xdr:colOff>184150</xdr:colOff>
                    <xdr:row>5</xdr:row>
                    <xdr:rowOff>95250</xdr:rowOff>
                  </from>
                  <to>
                    <xdr:col>12</xdr:col>
                    <xdr:colOff>355600</xdr:colOff>
                    <xdr:row>5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66FFFF"/>
    <pageSetUpPr fitToPage="1"/>
  </sheetPr>
  <dimension ref="A1:AF147"/>
  <sheetViews>
    <sheetView showGridLines="0" view="pageBreakPreview" topLeftCell="A25" zoomScale="62" zoomScaleNormal="75" zoomScaleSheetLayoutView="62" workbookViewId="0">
      <selection activeCell="T3" sqref="T3:V3"/>
    </sheetView>
  </sheetViews>
  <sheetFormatPr defaultColWidth="9" defaultRowHeight="13.5" x14ac:dyDescent="0.3"/>
  <cols>
    <col min="1" max="1" width="1.58203125" style="1" customWidth="1"/>
    <col min="2" max="2" width="1.33203125" style="1" customWidth="1"/>
    <col min="3" max="3" width="4.08203125" style="1" customWidth="1"/>
    <col min="4" max="4" width="2.08203125" style="1" customWidth="1"/>
    <col min="5" max="5" width="9.58203125" style="1" customWidth="1"/>
    <col min="6" max="6" width="5.33203125" style="1" customWidth="1"/>
    <col min="7" max="7" width="12.08203125" style="1" customWidth="1"/>
    <col min="8" max="8" width="9.58203125" style="1" customWidth="1"/>
    <col min="9" max="9" width="5.33203125" style="1" customWidth="1"/>
    <col min="10" max="10" width="12.08203125" style="1" customWidth="1"/>
    <col min="11" max="11" width="5.33203125" style="1" customWidth="1"/>
    <col min="12" max="12" width="1.33203125" style="1" customWidth="1"/>
    <col min="13" max="13" width="2" style="11" customWidth="1"/>
    <col min="14" max="14" width="4.33203125" style="1" customWidth="1"/>
    <col min="15" max="15" width="2.08203125" style="1" customWidth="1"/>
    <col min="16" max="16" width="9.58203125" style="1" customWidth="1"/>
    <col min="17" max="17" width="5.33203125" style="1" customWidth="1"/>
    <col min="18" max="18" width="12.08203125" style="1" customWidth="1"/>
    <col min="19" max="19" width="9.58203125" style="1" customWidth="1"/>
    <col min="20" max="20" width="5.33203125" style="1" customWidth="1"/>
    <col min="21" max="21" width="12.08203125" style="1" customWidth="1"/>
    <col min="22" max="22" width="5.33203125" style="11" customWidth="1"/>
    <col min="23" max="23" width="1.83203125" style="11" customWidth="1"/>
    <col min="24" max="24" width="0.75" style="1" customWidth="1"/>
    <col min="25" max="25" width="11.75" style="1" customWidth="1"/>
    <col min="26" max="26" width="0.58203125" style="16" customWidth="1"/>
    <col min="27" max="27" width="9.6640625" style="1" bestFit="1" customWidth="1"/>
    <col min="28" max="16384" width="9" style="1"/>
  </cols>
  <sheetData>
    <row r="1" spans="1:32" ht="22" x14ac:dyDescent="0.3">
      <c r="A1" s="588" t="s">
        <v>54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Y1" s="499"/>
      <c r="Z1" s="500"/>
      <c r="AA1" s="499"/>
      <c r="AB1" s="499"/>
      <c r="AC1" s="499"/>
      <c r="AD1" s="499"/>
      <c r="AE1" s="499"/>
      <c r="AF1" s="499"/>
    </row>
    <row r="2" spans="1:32" ht="27" customHeight="1" x14ac:dyDescent="0.3">
      <c r="C2" s="81" t="s">
        <v>20</v>
      </c>
      <c r="D2" s="6"/>
      <c r="E2" s="82"/>
      <c r="F2" s="6"/>
      <c r="H2" s="82"/>
      <c r="I2" s="6"/>
      <c r="M2" s="1"/>
      <c r="N2" s="82" t="s">
        <v>59</v>
      </c>
      <c r="V2" s="1"/>
      <c r="W2" s="1"/>
      <c r="X2" s="11"/>
      <c r="Y2" s="501" t="s">
        <v>161</v>
      </c>
      <c r="Z2" s="499"/>
      <c r="AA2" s="499" t="s">
        <v>162</v>
      </c>
      <c r="AB2" s="500"/>
      <c r="AC2" s="499"/>
      <c r="AD2" s="499"/>
      <c r="AE2" s="499"/>
      <c r="AF2" s="499"/>
    </row>
    <row r="3" spans="1:32" ht="26.5" customHeight="1" thickBot="1" x14ac:dyDescent="0.35">
      <c r="C3" s="24" t="s">
        <v>2</v>
      </c>
      <c r="D3" s="24"/>
      <c r="N3" s="101" t="s">
        <v>1</v>
      </c>
      <c r="O3" s="101"/>
      <c r="P3" s="102"/>
      <c r="Q3" s="102"/>
      <c r="R3" s="102"/>
      <c r="S3" s="102"/>
      <c r="T3" s="602"/>
      <c r="U3" s="603"/>
      <c r="V3" s="604"/>
      <c r="X3" s="11"/>
      <c r="Y3" s="499">
        <f>IF(T3="直島町",0,31)</f>
        <v>31</v>
      </c>
      <c r="Z3" s="500"/>
      <c r="AA3" s="499"/>
      <c r="AB3" s="499"/>
      <c r="AC3" s="499"/>
      <c r="AD3" s="499"/>
      <c r="AE3" s="499"/>
      <c r="AF3" s="499"/>
    </row>
    <row r="4" spans="1:32" ht="9" customHeight="1" thickTop="1" thickBot="1" x14ac:dyDescent="0.35">
      <c r="C4" s="24"/>
      <c r="D4" s="24"/>
      <c r="N4" s="9"/>
      <c r="O4" s="9"/>
      <c r="P4" s="11"/>
      <c r="Q4" s="11"/>
      <c r="R4" s="11"/>
      <c r="S4" s="11"/>
      <c r="T4" s="11"/>
      <c r="U4" s="11"/>
      <c r="Y4" s="499"/>
      <c r="Z4" s="500"/>
      <c r="AA4" s="499"/>
      <c r="AB4" s="499"/>
      <c r="AC4" s="499"/>
      <c r="AD4" s="499"/>
      <c r="AE4" s="499"/>
      <c r="AF4" s="499"/>
    </row>
    <row r="5" spans="1:32" ht="25" customHeight="1" thickBot="1" x14ac:dyDescent="0.35">
      <c r="A5" s="11"/>
      <c r="B5" s="107"/>
      <c r="C5" s="601" t="s">
        <v>28</v>
      </c>
      <c r="D5" s="601"/>
      <c r="E5" s="601"/>
      <c r="F5" s="601"/>
      <c r="G5" s="601"/>
      <c r="H5" s="286"/>
      <c r="I5" s="286"/>
      <c r="J5" s="286"/>
      <c r="K5" s="109"/>
      <c r="L5" s="10"/>
      <c r="M5" s="130"/>
      <c r="N5" s="182" t="s">
        <v>27</v>
      </c>
      <c r="O5" s="182"/>
      <c r="P5" s="182"/>
      <c r="Q5" s="182"/>
      <c r="R5" s="108"/>
      <c r="S5" s="182"/>
      <c r="T5" s="182"/>
      <c r="U5" s="108"/>
      <c r="V5" s="131"/>
      <c r="W5" s="10"/>
      <c r="X5" s="2"/>
      <c r="Y5" s="499" t="s">
        <v>177</v>
      </c>
      <c r="Z5" s="500"/>
      <c r="AA5" s="499">
        <f>IF(U3="綾川町・まんのう町・直島町　以外",4,0)</f>
        <v>0</v>
      </c>
      <c r="AB5" s="499" t="s">
        <v>164</v>
      </c>
      <c r="AC5" s="499"/>
      <c r="AD5" s="499"/>
      <c r="AE5" s="499"/>
      <c r="AF5" s="499"/>
    </row>
    <row r="6" spans="1:32" s="27" customFormat="1" ht="20.149999999999999" customHeight="1" x14ac:dyDescent="0.3">
      <c r="A6" s="99"/>
      <c r="B6" s="116"/>
      <c r="C6" s="147" t="s">
        <v>19</v>
      </c>
      <c r="D6" s="104"/>
      <c r="E6" s="104"/>
      <c r="F6" s="104"/>
      <c r="G6" s="105"/>
      <c r="H6" s="104"/>
      <c r="I6" s="104"/>
      <c r="J6" s="105"/>
      <c r="K6" s="117"/>
      <c r="L6" s="28"/>
      <c r="M6" s="135"/>
      <c r="N6" s="147" t="s">
        <v>19</v>
      </c>
      <c r="O6" s="104"/>
      <c r="P6" s="104"/>
      <c r="Q6" s="104"/>
      <c r="R6" s="105"/>
      <c r="S6" s="104"/>
      <c r="T6" s="104"/>
      <c r="U6" s="105"/>
      <c r="V6" s="117"/>
      <c r="W6" s="36"/>
      <c r="X6" s="29"/>
      <c r="Y6" s="499"/>
      <c r="Z6" s="500"/>
      <c r="AA6" s="499"/>
      <c r="AB6" s="499"/>
      <c r="AC6" s="503"/>
      <c r="AD6" s="503"/>
      <c r="AE6" s="503"/>
      <c r="AF6" s="503"/>
    </row>
    <row r="7" spans="1:32" ht="6" customHeight="1" x14ac:dyDescent="0.3">
      <c r="B7" s="110"/>
      <c r="C7" s="11"/>
      <c r="D7" s="11"/>
      <c r="E7" s="11"/>
      <c r="F7" s="11"/>
      <c r="G7" s="59"/>
      <c r="H7" s="11"/>
      <c r="I7" s="11"/>
      <c r="J7" s="59"/>
      <c r="K7" s="140"/>
      <c r="L7" s="59"/>
      <c r="M7" s="110"/>
      <c r="N7" s="11"/>
      <c r="O7" s="11"/>
      <c r="P7" s="11"/>
      <c r="Q7" s="11"/>
      <c r="R7" s="59"/>
      <c r="S7" s="11"/>
      <c r="T7" s="11"/>
      <c r="U7" s="59"/>
      <c r="V7" s="123"/>
      <c r="Y7" s="499" t="s">
        <v>164</v>
      </c>
      <c r="Z7" s="500"/>
      <c r="AA7" s="499">
        <v>7</v>
      </c>
      <c r="AB7" s="499" t="s">
        <v>163</v>
      </c>
      <c r="AC7" s="499"/>
      <c r="AD7" s="499"/>
      <c r="AE7" s="499"/>
      <c r="AF7" s="499"/>
    </row>
    <row r="8" spans="1:32" s="6" customFormat="1" ht="20.149999999999999" customHeight="1" x14ac:dyDescent="0.3">
      <c r="B8" s="111"/>
      <c r="C8" s="597"/>
      <c r="D8" s="597"/>
      <c r="E8" s="598">
        <f>DATE(2020,1,1)</f>
        <v>43831</v>
      </c>
      <c r="F8" s="599"/>
      <c r="G8" s="600"/>
      <c r="H8" s="598">
        <f>DATE(2020,2,1)</f>
        <v>43862</v>
      </c>
      <c r="I8" s="599"/>
      <c r="J8" s="600"/>
      <c r="K8" s="158"/>
      <c r="L8" s="57"/>
      <c r="M8" s="132"/>
      <c r="N8" s="597"/>
      <c r="O8" s="597"/>
      <c r="P8" s="598">
        <v>44197</v>
      </c>
      <c r="Q8" s="599"/>
      <c r="R8" s="600"/>
      <c r="S8" s="598">
        <v>44228</v>
      </c>
      <c r="T8" s="599"/>
      <c r="U8" s="600"/>
      <c r="V8" s="133"/>
      <c r="W8" s="33"/>
      <c r="X8" s="5"/>
      <c r="Y8" s="499">
        <f>IF(T3="綾川町・まんのう町・直島町　以外",COUNTIF(F30:F33,"○"),0)</f>
        <v>0</v>
      </c>
      <c r="Z8" s="502"/>
      <c r="AA8" s="503">
        <f>AA5+AA7</f>
        <v>7</v>
      </c>
      <c r="AB8" s="503"/>
      <c r="AC8" s="506"/>
      <c r="AD8" s="506"/>
      <c r="AE8" s="506"/>
      <c r="AF8" s="506"/>
    </row>
    <row r="9" spans="1:32" s="19" customFormat="1" ht="20.149999999999999" customHeight="1" thickBot="1" x14ac:dyDescent="0.35">
      <c r="B9" s="112"/>
      <c r="C9" s="172"/>
      <c r="D9" s="57"/>
      <c r="E9" s="165" t="s">
        <v>10</v>
      </c>
      <c r="F9" s="31" t="s">
        <v>13</v>
      </c>
      <c r="G9" s="31" t="s">
        <v>0</v>
      </c>
      <c r="H9" s="165" t="s">
        <v>10</v>
      </c>
      <c r="I9" s="31" t="s">
        <v>13</v>
      </c>
      <c r="J9" s="31" t="s">
        <v>0</v>
      </c>
      <c r="K9" s="113"/>
      <c r="L9" s="57"/>
      <c r="M9" s="168"/>
      <c r="N9" s="57"/>
      <c r="O9" s="57"/>
      <c r="P9" s="165" t="s">
        <v>10</v>
      </c>
      <c r="Q9" s="31" t="s">
        <v>13</v>
      </c>
      <c r="R9" s="31" t="s">
        <v>0</v>
      </c>
      <c r="S9" s="165" t="s">
        <v>10</v>
      </c>
      <c r="T9" s="31" t="s">
        <v>13</v>
      </c>
      <c r="U9" s="31" t="s">
        <v>0</v>
      </c>
      <c r="V9" s="113"/>
      <c r="W9" s="34"/>
      <c r="X9" s="20"/>
      <c r="Y9" s="499"/>
      <c r="Z9" s="504"/>
      <c r="AA9" s="499"/>
      <c r="AB9" s="499"/>
      <c r="AC9" s="509"/>
      <c r="AD9" s="509"/>
      <c r="AE9" s="509"/>
      <c r="AF9" s="509"/>
    </row>
    <row r="10" spans="1:32" s="8" customFormat="1" ht="16" customHeight="1" thickTop="1" thickBot="1" x14ac:dyDescent="0.35">
      <c r="B10" s="114"/>
      <c r="C10" s="173" t="s">
        <v>22</v>
      </c>
      <c r="D10" s="170"/>
      <c r="E10" s="253">
        <f>E8</f>
        <v>43831</v>
      </c>
      <c r="F10" s="272"/>
      <c r="G10" s="470"/>
      <c r="H10" s="399">
        <f>H8</f>
        <v>43862</v>
      </c>
      <c r="I10" s="452"/>
      <c r="J10" s="479"/>
      <c r="K10" s="115"/>
      <c r="L10" s="106"/>
      <c r="M10" s="134"/>
      <c r="N10" s="173" t="s">
        <v>22</v>
      </c>
      <c r="O10" s="170"/>
      <c r="P10" s="253">
        <f>P8</f>
        <v>44197</v>
      </c>
      <c r="Q10" s="208"/>
      <c r="R10" s="470"/>
      <c r="S10" s="399">
        <f>S8</f>
        <v>44228</v>
      </c>
      <c r="T10" s="456"/>
      <c r="U10" s="479"/>
      <c r="V10" s="122"/>
      <c r="W10" s="35"/>
      <c r="X10" s="7"/>
      <c r="Y10" s="499" t="s">
        <v>163</v>
      </c>
      <c r="Z10" s="505"/>
      <c r="AA10" s="499">
        <f>IF(T3="直島町",0,1)</f>
        <v>1</v>
      </c>
      <c r="AB10" s="506" t="s">
        <v>165</v>
      </c>
      <c r="AC10" s="511"/>
      <c r="AD10" s="511"/>
      <c r="AE10" s="511"/>
      <c r="AF10" s="511"/>
    </row>
    <row r="11" spans="1:32" s="8" customFormat="1" ht="16" customHeight="1" thickTop="1" x14ac:dyDescent="0.3">
      <c r="B11" s="114"/>
      <c r="C11" s="173" t="s">
        <v>22</v>
      </c>
      <c r="D11" s="170"/>
      <c r="E11" s="167">
        <f>E10+1</f>
        <v>43832</v>
      </c>
      <c r="F11" s="211"/>
      <c r="G11" s="237"/>
      <c r="H11" s="364">
        <f>H10+1</f>
        <v>43863</v>
      </c>
      <c r="I11" s="461"/>
      <c r="J11" s="480"/>
      <c r="K11" s="115"/>
      <c r="L11" s="106"/>
      <c r="M11" s="134"/>
      <c r="N11" s="173" t="s">
        <v>22</v>
      </c>
      <c r="O11" s="170"/>
      <c r="P11" s="167">
        <f>P10+1</f>
        <v>44198</v>
      </c>
      <c r="Q11" s="208"/>
      <c r="R11" s="237"/>
      <c r="S11" s="364">
        <f>S10+1</f>
        <v>44229</v>
      </c>
      <c r="T11" s="214"/>
      <c r="U11" s="480"/>
      <c r="V11" s="122"/>
      <c r="W11" s="35"/>
      <c r="X11" s="7"/>
      <c r="Y11" s="507">
        <f>COUNTIF(F34:F40,"○")</f>
        <v>0</v>
      </c>
      <c r="Z11" s="508"/>
      <c r="AA11" s="509">
        <f>AA8*AA10</f>
        <v>7</v>
      </c>
      <c r="AB11" s="509" t="s">
        <v>166</v>
      </c>
      <c r="AC11" s="511"/>
      <c r="AD11" s="511"/>
      <c r="AE11" s="511"/>
      <c r="AF11" s="511"/>
    </row>
    <row r="12" spans="1:32" s="8" customFormat="1" ht="16" customHeight="1" x14ac:dyDescent="0.3">
      <c r="B12" s="114"/>
      <c r="C12" s="173" t="s">
        <v>22</v>
      </c>
      <c r="D12" s="170"/>
      <c r="E12" s="167">
        <f t="shared" ref="E12:E39" si="0">E11+1</f>
        <v>43833</v>
      </c>
      <c r="F12" s="211"/>
      <c r="G12" s="237"/>
      <c r="H12" s="145">
        <f t="shared" ref="H12:H38" si="1">H11+1</f>
        <v>43864</v>
      </c>
      <c r="I12" s="314"/>
      <c r="J12" s="481"/>
      <c r="K12" s="115"/>
      <c r="L12" s="106"/>
      <c r="M12" s="134"/>
      <c r="N12" s="173" t="s">
        <v>22</v>
      </c>
      <c r="O12" s="170"/>
      <c r="P12" s="167">
        <f t="shared" ref="P12:P39" si="2">P11+1</f>
        <v>44199</v>
      </c>
      <c r="Q12" s="208"/>
      <c r="R12" s="237"/>
      <c r="S12" s="145">
        <f t="shared" ref="S12:S37" si="3">S11+1</f>
        <v>44230</v>
      </c>
      <c r="T12" s="384"/>
      <c r="U12" s="481"/>
      <c r="V12" s="122"/>
      <c r="W12" s="35"/>
      <c r="X12" s="7"/>
      <c r="Y12" s="506" t="s">
        <v>171</v>
      </c>
      <c r="Z12" s="510">
        <v>42370</v>
      </c>
      <c r="AA12" s="511"/>
      <c r="AB12" s="511"/>
      <c r="AC12" s="511"/>
      <c r="AD12" s="511"/>
      <c r="AE12" s="511"/>
      <c r="AF12" s="511"/>
    </row>
    <row r="13" spans="1:32" s="8" customFormat="1" ht="16" customHeight="1" x14ac:dyDescent="0.3">
      <c r="B13" s="114"/>
      <c r="C13" s="173" t="s">
        <v>23</v>
      </c>
      <c r="D13" s="170"/>
      <c r="E13" s="167">
        <f>E12+1</f>
        <v>43834</v>
      </c>
      <c r="F13" s="211"/>
      <c r="G13" s="237"/>
      <c r="H13" s="145">
        <f>H12+1</f>
        <v>43865</v>
      </c>
      <c r="I13" s="314"/>
      <c r="J13" s="481"/>
      <c r="K13" s="115"/>
      <c r="L13" s="106"/>
      <c r="M13" s="134"/>
      <c r="N13" s="173" t="s">
        <v>23</v>
      </c>
      <c r="O13" s="170"/>
      <c r="P13" s="167">
        <f>P12+1</f>
        <v>44200</v>
      </c>
      <c r="Q13" s="208"/>
      <c r="R13" s="237"/>
      <c r="S13" s="145">
        <f>S12+1</f>
        <v>44231</v>
      </c>
      <c r="T13" s="384"/>
      <c r="U13" s="481"/>
      <c r="V13" s="122"/>
      <c r="W13" s="35"/>
      <c r="X13" s="7"/>
      <c r="Y13" s="512">
        <f>Y8+Y11</f>
        <v>0</v>
      </c>
      <c r="Z13" s="510">
        <v>42380</v>
      </c>
      <c r="AA13" s="511"/>
      <c r="AB13" s="511"/>
      <c r="AC13" s="511"/>
      <c r="AD13" s="511"/>
      <c r="AE13" s="511"/>
      <c r="AF13" s="511"/>
    </row>
    <row r="14" spans="1:32" s="8" customFormat="1" ht="16" customHeight="1" x14ac:dyDescent="0.3">
      <c r="B14" s="114"/>
      <c r="C14" s="173" t="s">
        <v>22</v>
      </c>
      <c r="D14" s="170"/>
      <c r="E14" s="167">
        <f t="shared" si="0"/>
        <v>43835</v>
      </c>
      <c r="F14" s="211"/>
      <c r="G14" s="237"/>
      <c r="H14" s="145">
        <f t="shared" si="1"/>
        <v>43866</v>
      </c>
      <c r="I14" s="314"/>
      <c r="J14" s="481"/>
      <c r="K14" s="115"/>
      <c r="L14" s="106"/>
      <c r="M14" s="134"/>
      <c r="N14" s="173" t="s">
        <v>22</v>
      </c>
      <c r="O14" s="170"/>
      <c r="P14" s="167">
        <f t="shared" si="2"/>
        <v>44201</v>
      </c>
      <c r="Q14" s="208"/>
      <c r="R14" s="237"/>
      <c r="S14" s="145">
        <f t="shared" si="3"/>
        <v>44232</v>
      </c>
      <c r="T14" s="384"/>
      <c r="U14" s="481"/>
      <c r="V14" s="122"/>
      <c r="W14" s="35"/>
      <c r="X14" s="7"/>
      <c r="Y14" s="506" t="s">
        <v>165</v>
      </c>
      <c r="Z14" s="510">
        <v>42411</v>
      </c>
      <c r="AA14" s="499">
        <f>IF(T3="直島町",12,13)</f>
        <v>13</v>
      </c>
      <c r="AB14" s="511" t="s">
        <v>167</v>
      </c>
      <c r="AC14" s="511"/>
      <c r="AD14" s="511"/>
      <c r="AE14" s="511"/>
      <c r="AF14" s="511"/>
    </row>
    <row r="15" spans="1:32" s="8" customFormat="1" ht="16" customHeight="1" x14ac:dyDescent="0.3">
      <c r="B15" s="114"/>
      <c r="C15" s="173" t="s">
        <v>22</v>
      </c>
      <c r="D15" s="170"/>
      <c r="E15" s="281">
        <f t="shared" si="0"/>
        <v>43836</v>
      </c>
      <c r="F15" s="212"/>
      <c r="G15" s="471"/>
      <c r="H15" s="215">
        <f t="shared" si="1"/>
        <v>43867</v>
      </c>
      <c r="I15" s="453"/>
      <c r="J15" s="482"/>
      <c r="K15" s="115"/>
      <c r="L15" s="106"/>
      <c r="M15" s="134"/>
      <c r="N15" s="173" t="s">
        <v>22</v>
      </c>
      <c r="O15" s="170"/>
      <c r="P15" s="281">
        <f t="shared" si="2"/>
        <v>44202</v>
      </c>
      <c r="Q15" s="275"/>
      <c r="R15" s="471"/>
      <c r="S15" s="215">
        <f t="shared" si="3"/>
        <v>44233</v>
      </c>
      <c r="T15" s="455"/>
      <c r="U15" s="482"/>
      <c r="V15" s="122"/>
      <c r="W15" s="35"/>
      <c r="X15" s="7"/>
      <c r="Y15" s="499">
        <f>IF(T3="直島町",0,1)</f>
        <v>1</v>
      </c>
      <c r="Z15" s="525">
        <v>42489</v>
      </c>
      <c r="AA15" s="511"/>
      <c r="AB15" s="511"/>
      <c r="AC15" s="511"/>
      <c r="AD15" s="511"/>
      <c r="AE15" s="511"/>
      <c r="AF15" s="511"/>
    </row>
    <row r="16" spans="1:32" s="8" customFormat="1" ht="16" customHeight="1" x14ac:dyDescent="0.3">
      <c r="B16" s="114"/>
      <c r="C16" s="173" t="s">
        <v>22</v>
      </c>
      <c r="D16" s="170"/>
      <c r="E16" s="253">
        <f t="shared" si="0"/>
        <v>43837</v>
      </c>
      <c r="F16" s="272"/>
      <c r="G16" s="470"/>
      <c r="H16" s="216">
        <f t="shared" si="1"/>
        <v>43868</v>
      </c>
      <c r="I16" s="454"/>
      <c r="J16" s="483"/>
      <c r="K16" s="115"/>
      <c r="L16" s="106"/>
      <c r="M16" s="134"/>
      <c r="N16" s="173" t="s">
        <v>22</v>
      </c>
      <c r="O16" s="170"/>
      <c r="P16" s="253">
        <f t="shared" si="2"/>
        <v>44203</v>
      </c>
      <c r="Q16" s="208"/>
      <c r="R16" s="470"/>
      <c r="S16" s="216">
        <f t="shared" si="3"/>
        <v>44234</v>
      </c>
      <c r="T16" s="384"/>
      <c r="U16" s="483"/>
      <c r="V16" s="122"/>
      <c r="W16" s="35"/>
      <c r="X16" s="7"/>
      <c r="Y16" s="513">
        <f>Y13*Y15</f>
        <v>0</v>
      </c>
      <c r="Z16" s="525">
        <v>42493</v>
      </c>
      <c r="AA16" s="511" t="s">
        <v>175</v>
      </c>
      <c r="AB16" s="511"/>
      <c r="AC16" s="511"/>
      <c r="AD16" s="511"/>
      <c r="AE16" s="511"/>
      <c r="AF16" s="511"/>
    </row>
    <row r="17" spans="2:32" s="8" customFormat="1" ht="16" customHeight="1" x14ac:dyDescent="0.3">
      <c r="B17" s="114"/>
      <c r="C17" s="173" t="s">
        <v>22</v>
      </c>
      <c r="D17" s="170"/>
      <c r="E17" s="167">
        <f t="shared" si="0"/>
        <v>43838</v>
      </c>
      <c r="F17" s="211"/>
      <c r="G17" s="237"/>
      <c r="H17" s="145">
        <f t="shared" si="1"/>
        <v>43869</v>
      </c>
      <c r="I17" s="314"/>
      <c r="J17" s="481"/>
      <c r="K17" s="115"/>
      <c r="L17" s="106"/>
      <c r="M17" s="134"/>
      <c r="N17" s="173" t="s">
        <v>22</v>
      </c>
      <c r="O17" s="170"/>
      <c r="P17" s="167">
        <f t="shared" si="2"/>
        <v>44204</v>
      </c>
      <c r="Q17" s="100"/>
      <c r="R17" s="237"/>
      <c r="S17" s="145">
        <f t="shared" si="3"/>
        <v>44235</v>
      </c>
      <c r="T17" s="213"/>
      <c r="U17" s="481"/>
      <c r="V17" s="122"/>
      <c r="W17" s="35"/>
      <c r="X17" s="7"/>
      <c r="Y17" s="514"/>
      <c r="Z17" s="525">
        <v>42494</v>
      </c>
      <c r="AA17" s="511" t="s">
        <v>176</v>
      </c>
      <c r="AB17" s="511"/>
      <c r="AC17" s="511"/>
      <c r="AD17" s="511"/>
      <c r="AE17" s="511"/>
      <c r="AF17" s="511"/>
    </row>
    <row r="18" spans="2:32" s="8" customFormat="1" ht="16" customHeight="1" x14ac:dyDescent="0.3">
      <c r="B18" s="114"/>
      <c r="C18" s="173" t="s">
        <v>22</v>
      </c>
      <c r="D18" s="170"/>
      <c r="E18" s="167">
        <f t="shared" si="0"/>
        <v>43839</v>
      </c>
      <c r="F18" s="211"/>
      <c r="G18" s="237"/>
      <c r="H18" s="145">
        <f t="shared" si="1"/>
        <v>43870</v>
      </c>
      <c r="I18" s="314"/>
      <c r="J18" s="481"/>
      <c r="K18" s="115"/>
      <c r="L18" s="106"/>
      <c r="M18" s="134"/>
      <c r="N18" s="173" t="s">
        <v>22</v>
      </c>
      <c r="O18" s="170"/>
      <c r="P18" s="167">
        <f t="shared" si="2"/>
        <v>44205</v>
      </c>
      <c r="Q18" s="100"/>
      <c r="R18" s="237"/>
      <c r="S18" s="145">
        <f t="shared" si="3"/>
        <v>44236</v>
      </c>
      <c r="T18" s="213"/>
      <c r="U18" s="481"/>
      <c r="V18" s="122"/>
      <c r="W18" s="35"/>
      <c r="X18" s="7"/>
      <c r="Y18" s="514"/>
      <c r="Z18" s="525">
        <v>42495</v>
      </c>
      <c r="AA18" s="511">
        <v>12</v>
      </c>
      <c r="AB18" s="511"/>
      <c r="AC18" s="511"/>
      <c r="AD18" s="511"/>
      <c r="AE18" s="511"/>
      <c r="AF18" s="511"/>
    </row>
    <row r="19" spans="2:32" s="8" customFormat="1" ht="16" customHeight="1" x14ac:dyDescent="0.3">
      <c r="B19" s="114"/>
      <c r="C19" s="173" t="s">
        <v>22</v>
      </c>
      <c r="D19" s="170"/>
      <c r="E19" s="167">
        <f t="shared" si="0"/>
        <v>43840</v>
      </c>
      <c r="F19" s="211"/>
      <c r="G19" s="237"/>
      <c r="H19" s="145">
        <f t="shared" si="1"/>
        <v>43871</v>
      </c>
      <c r="I19" s="314"/>
      <c r="J19" s="481"/>
      <c r="K19" s="115"/>
      <c r="L19" s="106"/>
      <c r="M19" s="134"/>
      <c r="N19" s="173" t="s">
        <v>22</v>
      </c>
      <c r="O19" s="170"/>
      <c r="P19" s="167">
        <f t="shared" si="2"/>
        <v>44206</v>
      </c>
      <c r="Q19" s="100"/>
      <c r="R19" s="237"/>
      <c r="S19" s="145">
        <f t="shared" si="3"/>
        <v>44237</v>
      </c>
      <c r="T19" s="213"/>
      <c r="U19" s="481"/>
      <c r="V19" s="122"/>
      <c r="W19" s="35"/>
      <c r="X19" s="7"/>
      <c r="Y19" s="514" t="s">
        <v>175</v>
      </c>
      <c r="Z19" s="525">
        <v>42569</v>
      </c>
      <c r="AA19" s="506" t="s">
        <v>165</v>
      </c>
      <c r="AB19" s="511"/>
      <c r="AC19" s="511"/>
      <c r="AD19" s="511"/>
      <c r="AE19" s="511"/>
      <c r="AF19" s="511"/>
    </row>
    <row r="20" spans="2:32" s="8" customFormat="1" ht="16" customHeight="1" x14ac:dyDescent="0.3">
      <c r="B20" s="114"/>
      <c r="C20" s="173" t="s">
        <v>22</v>
      </c>
      <c r="D20" s="170"/>
      <c r="E20" s="281">
        <f t="shared" si="0"/>
        <v>43841</v>
      </c>
      <c r="F20" s="212"/>
      <c r="G20" s="471"/>
      <c r="H20" s="215">
        <f t="shared" si="1"/>
        <v>43872</v>
      </c>
      <c r="I20" s="453"/>
      <c r="J20" s="482"/>
      <c r="K20" s="115"/>
      <c r="L20" s="106"/>
      <c r="M20" s="134"/>
      <c r="N20" s="173" t="s">
        <v>22</v>
      </c>
      <c r="O20" s="170"/>
      <c r="P20" s="281">
        <f t="shared" si="2"/>
        <v>44207</v>
      </c>
      <c r="Q20" s="282"/>
      <c r="R20" s="471"/>
      <c r="S20" s="215">
        <f t="shared" si="3"/>
        <v>44238</v>
      </c>
      <c r="T20" s="256"/>
      <c r="U20" s="482"/>
      <c r="V20" s="122"/>
      <c r="W20" s="35"/>
      <c r="X20" s="7"/>
      <c r="Y20" s="499" t="s">
        <v>164</v>
      </c>
      <c r="Z20" s="525">
        <v>42632</v>
      </c>
      <c r="AA20" s="499">
        <f>IF(T3="直島町",0,1)</f>
        <v>1</v>
      </c>
      <c r="AB20" s="511"/>
      <c r="AC20" s="511"/>
      <c r="AD20" s="511"/>
      <c r="AE20" s="511"/>
      <c r="AF20" s="511"/>
    </row>
    <row r="21" spans="2:32" s="8" customFormat="1" ht="16" customHeight="1" x14ac:dyDescent="0.3">
      <c r="B21" s="114"/>
      <c r="C21" s="173" t="s">
        <v>23</v>
      </c>
      <c r="D21" s="170"/>
      <c r="E21" s="283">
        <f t="shared" si="0"/>
        <v>43842</v>
      </c>
      <c r="F21" s="275"/>
      <c r="G21" s="486"/>
      <c r="H21" s="321">
        <f t="shared" si="1"/>
        <v>43873</v>
      </c>
      <c r="I21" s="455"/>
      <c r="J21" s="484"/>
      <c r="K21" s="115"/>
      <c r="L21" s="106"/>
      <c r="M21" s="134"/>
      <c r="N21" s="173" t="s">
        <v>22</v>
      </c>
      <c r="O21" s="170"/>
      <c r="P21" s="420">
        <f t="shared" si="2"/>
        <v>44208</v>
      </c>
      <c r="Q21" s="275"/>
      <c r="R21" s="486"/>
      <c r="S21" s="321">
        <f t="shared" si="3"/>
        <v>44239</v>
      </c>
      <c r="T21" s="455"/>
      <c r="U21" s="484"/>
      <c r="V21" s="122"/>
      <c r="W21" s="35"/>
      <c r="X21" s="7"/>
      <c r="Y21" s="499">
        <f>IF(T3="綾川町・まんのう町・直島町　以外",4,0)</f>
        <v>0</v>
      </c>
      <c r="Z21" s="525">
        <v>42635</v>
      </c>
      <c r="AA21" s="513">
        <f>AA18+AA20</f>
        <v>13</v>
      </c>
      <c r="AB21" s="511"/>
      <c r="AC21" s="511"/>
      <c r="AD21" s="511"/>
      <c r="AE21" s="511"/>
      <c r="AF21" s="511"/>
    </row>
    <row r="22" spans="2:32" s="8" customFormat="1" ht="16" customHeight="1" thickBot="1" x14ac:dyDescent="0.35">
      <c r="B22" s="114"/>
      <c r="C22" s="173" t="s">
        <v>22</v>
      </c>
      <c r="D22" s="170"/>
      <c r="E22" s="313">
        <f t="shared" si="0"/>
        <v>43843</v>
      </c>
      <c r="F22" s="450"/>
      <c r="G22" s="472"/>
      <c r="H22" s="319">
        <f t="shared" si="1"/>
        <v>43874</v>
      </c>
      <c r="I22" s="306"/>
      <c r="J22" s="478"/>
      <c r="K22" s="115"/>
      <c r="L22" s="106"/>
      <c r="M22" s="134"/>
      <c r="N22" s="173" t="s">
        <v>23</v>
      </c>
      <c r="O22" s="170"/>
      <c r="P22" s="417">
        <f t="shared" si="2"/>
        <v>44209</v>
      </c>
      <c r="Q22" s="100"/>
      <c r="R22" s="481"/>
      <c r="S22" s="319">
        <f t="shared" si="3"/>
        <v>44240</v>
      </c>
      <c r="T22" s="306"/>
      <c r="U22" s="478"/>
      <c r="V22" s="122"/>
      <c r="W22" s="35"/>
      <c r="X22" s="7"/>
      <c r="Y22" s="514" t="s">
        <v>176</v>
      </c>
      <c r="Z22" s="525">
        <v>42653</v>
      </c>
      <c r="AA22" s="511"/>
      <c r="AB22" s="511"/>
      <c r="AC22" s="511"/>
      <c r="AD22" s="511"/>
      <c r="AE22" s="511"/>
      <c r="AF22" s="511"/>
    </row>
    <row r="23" spans="2:32" s="8" customFormat="1" ht="16" customHeight="1" thickTop="1" x14ac:dyDescent="0.3">
      <c r="B23" s="114"/>
      <c r="C23" s="173" t="s">
        <v>22</v>
      </c>
      <c r="D23" s="170"/>
      <c r="E23" s="313">
        <f t="shared" si="0"/>
        <v>43844</v>
      </c>
      <c r="F23" s="450"/>
      <c r="G23" s="473"/>
      <c r="H23" s="320">
        <f t="shared" si="1"/>
        <v>43875</v>
      </c>
      <c r="I23" s="451"/>
      <c r="J23" s="485"/>
      <c r="K23" s="115"/>
      <c r="L23" s="106"/>
      <c r="M23" s="134"/>
      <c r="N23" s="173" t="s">
        <v>22</v>
      </c>
      <c r="O23" s="170"/>
      <c r="P23" s="281">
        <f t="shared" si="2"/>
        <v>44210</v>
      </c>
      <c r="Q23" s="282"/>
      <c r="R23" s="471"/>
      <c r="S23" s="320">
        <f t="shared" si="3"/>
        <v>44241</v>
      </c>
      <c r="T23" s="451"/>
      <c r="U23" s="485"/>
      <c r="V23" s="122"/>
      <c r="W23" s="35"/>
      <c r="X23" s="7"/>
      <c r="Y23" s="513">
        <v>7</v>
      </c>
      <c r="Z23" s="525">
        <v>42677</v>
      </c>
      <c r="AA23" s="511" t="s">
        <v>178</v>
      </c>
      <c r="AB23" s="511"/>
      <c r="AC23" s="511"/>
      <c r="AD23" s="511"/>
      <c r="AE23" s="511"/>
      <c r="AF23" s="511"/>
    </row>
    <row r="24" spans="2:32" s="8" customFormat="1" ht="16" customHeight="1" x14ac:dyDescent="0.3">
      <c r="B24" s="114"/>
      <c r="C24" s="173" t="s">
        <v>22</v>
      </c>
      <c r="D24" s="170"/>
      <c r="E24" s="313">
        <f t="shared" si="0"/>
        <v>43845</v>
      </c>
      <c r="F24" s="450"/>
      <c r="G24" s="473"/>
      <c r="H24" s="313">
        <f t="shared" si="1"/>
        <v>43876</v>
      </c>
      <c r="I24" s="450"/>
      <c r="J24" s="473"/>
      <c r="K24" s="115"/>
      <c r="L24" s="106"/>
      <c r="M24" s="134"/>
      <c r="N24" s="173" t="s">
        <v>22</v>
      </c>
      <c r="O24" s="170"/>
      <c r="P24" s="253">
        <f t="shared" si="2"/>
        <v>44211</v>
      </c>
      <c r="Q24" s="282"/>
      <c r="R24" s="470"/>
      <c r="S24" s="313">
        <f t="shared" si="3"/>
        <v>44242</v>
      </c>
      <c r="T24" s="450"/>
      <c r="U24" s="473"/>
      <c r="V24" s="122"/>
      <c r="W24" s="35"/>
      <c r="X24" s="7"/>
      <c r="Y24" s="506" t="s">
        <v>171</v>
      </c>
      <c r="Z24" s="525">
        <v>42697</v>
      </c>
      <c r="AA24" s="499" t="s">
        <v>165</v>
      </c>
      <c r="AB24" s="511"/>
      <c r="AC24" s="511"/>
      <c r="AD24" s="511"/>
      <c r="AE24" s="511"/>
      <c r="AF24" s="511"/>
    </row>
    <row r="25" spans="2:32" s="8" customFormat="1" ht="16" customHeight="1" x14ac:dyDescent="0.3">
      <c r="B25" s="114"/>
      <c r="C25" s="173" t="s">
        <v>22</v>
      </c>
      <c r="D25" s="170"/>
      <c r="E25" s="313">
        <f t="shared" si="0"/>
        <v>43846</v>
      </c>
      <c r="F25" s="450"/>
      <c r="G25" s="473"/>
      <c r="H25" s="313">
        <f t="shared" si="1"/>
        <v>43877</v>
      </c>
      <c r="I25" s="450"/>
      <c r="J25" s="473"/>
      <c r="K25" s="115"/>
      <c r="L25" s="106"/>
      <c r="M25" s="134"/>
      <c r="N25" s="173" t="s">
        <v>22</v>
      </c>
      <c r="O25" s="170"/>
      <c r="P25" s="167">
        <f t="shared" si="2"/>
        <v>44212</v>
      </c>
      <c r="Q25" s="282"/>
      <c r="R25" s="237"/>
      <c r="S25" s="313">
        <f t="shared" si="3"/>
        <v>44243</v>
      </c>
      <c r="T25" s="450"/>
      <c r="U25" s="473"/>
      <c r="V25" s="122"/>
      <c r="W25" s="35"/>
      <c r="X25" s="7"/>
      <c r="Y25" s="512">
        <f>Y21+Y23</f>
        <v>7</v>
      </c>
      <c r="Z25" s="525">
        <v>42727</v>
      </c>
      <c r="AA25" s="499">
        <f>IF(T3="直島町",0,COUNTIF(I10,"○"))</f>
        <v>0</v>
      </c>
      <c r="AB25" s="511"/>
      <c r="AC25" s="511"/>
      <c r="AD25" s="511"/>
      <c r="AE25" s="511"/>
      <c r="AF25" s="511"/>
    </row>
    <row r="26" spans="2:32" s="8" customFormat="1" ht="16" customHeight="1" x14ac:dyDescent="0.3">
      <c r="B26" s="114"/>
      <c r="C26" s="173" t="s">
        <v>22</v>
      </c>
      <c r="D26" s="170"/>
      <c r="E26" s="313">
        <f t="shared" si="0"/>
        <v>43847</v>
      </c>
      <c r="F26" s="450"/>
      <c r="G26" s="473"/>
      <c r="H26" s="313">
        <f t="shared" si="1"/>
        <v>43878</v>
      </c>
      <c r="I26" s="450"/>
      <c r="J26" s="473"/>
      <c r="K26" s="115"/>
      <c r="L26" s="106"/>
      <c r="M26" s="134"/>
      <c r="N26" s="173" t="s">
        <v>22</v>
      </c>
      <c r="O26" s="170"/>
      <c r="P26" s="167">
        <f t="shared" si="2"/>
        <v>44213</v>
      </c>
      <c r="Q26" s="282"/>
      <c r="R26" s="237"/>
      <c r="S26" s="313">
        <f t="shared" si="3"/>
        <v>44244</v>
      </c>
      <c r="T26" s="450"/>
      <c r="U26" s="473"/>
      <c r="V26" s="122"/>
      <c r="W26" s="35"/>
      <c r="X26" s="7"/>
      <c r="Y26" s="506" t="s">
        <v>165</v>
      </c>
      <c r="Z26" s="504">
        <v>42736</v>
      </c>
      <c r="AA26" s="499"/>
      <c r="AB26" s="511"/>
      <c r="AC26" s="511"/>
      <c r="AD26" s="511"/>
      <c r="AE26" s="511"/>
      <c r="AF26" s="511"/>
    </row>
    <row r="27" spans="2:32" s="8" customFormat="1" ht="16" customHeight="1" x14ac:dyDescent="0.3">
      <c r="B27" s="114"/>
      <c r="C27" s="173" t="s">
        <v>22</v>
      </c>
      <c r="D27" s="170"/>
      <c r="E27" s="313">
        <f t="shared" si="0"/>
        <v>43848</v>
      </c>
      <c r="F27" s="450"/>
      <c r="G27" s="473"/>
      <c r="H27" s="313">
        <f t="shared" si="1"/>
        <v>43879</v>
      </c>
      <c r="I27" s="450"/>
      <c r="J27" s="473"/>
      <c r="K27" s="115"/>
      <c r="L27" s="106"/>
      <c r="M27" s="134"/>
      <c r="N27" s="173" t="s">
        <v>22</v>
      </c>
      <c r="O27" s="170"/>
      <c r="P27" s="167">
        <f t="shared" si="2"/>
        <v>44214</v>
      </c>
      <c r="Q27" s="282"/>
      <c r="R27" s="237"/>
      <c r="S27" s="313">
        <f t="shared" si="3"/>
        <v>44245</v>
      </c>
      <c r="T27" s="450"/>
      <c r="U27" s="473"/>
      <c r="V27" s="122"/>
      <c r="W27" s="35"/>
      <c r="X27" s="7"/>
      <c r="Y27" s="499">
        <f>IF(T3="直島町",0,1)</f>
        <v>1</v>
      </c>
      <c r="Z27" s="504">
        <v>42744</v>
      </c>
      <c r="AA27" s="499" t="s">
        <v>172</v>
      </c>
      <c r="AB27" s="511"/>
      <c r="AC27" s="511"/>
      <c r="AD27" s="511"/>
      <c r="AE27" s="511"/>
      <c r="AF27" s="511"/>
    </row>
    <row r="28" spans="2:32" s="8" customFormat="1" ht="16" customHeight="1" x14ac:dyDescent="0.3">
      <c r="B28" s="114"/>
      <c r="C28" s="173" t="s">
        <v>23</v>
      </c>
      <c r="D28" s="170"/>
      <c r="E28" s="313">
        <f t="shared" si="0"/>
        <v>43849</v>
      </c>
      <c r="F28" s="450"/>
      <c r="G28" s="473"/>
      <c r="H28" s="313">
        <f t="shared" si="1"/>
        <v>43880</v>
      </c>
      <c r="I28" s="450"/>
      <c r="J28" s="473"/>
      <c r="K28" s="115"/>
      <c r="L28" s="106"/>
      <c r="M28" s="134"/>
      <c r="N28" s="173" t="s">
        <v>22</v>
      </c>
      <c r="O28" s="170"/>
      <c r="P28" s="418">
        <f t="shared" si="2"/>
        <v>44215</v>
      </c>
      <c r="Q28" s="457"/>
      <c r="R28" s="488"/>
      <c r="S28" s="313">
        <f t="shared" si="3"/>
        <v>44246</v>
      </c>
      <c r="T28" s="450"/>
      <c r="U28" s="473"/>
      <c r="V28" s="122"/>
      <c r="W28" s="35"/>
      <c r="X28" s="7"/>
      <c r="Y28" s="513">
        <f>Y25*Y27</f>
        <v>7</v>
      </c>
      <c r="Z28" s="504">
        <v>42777</v>
      </c>
      <c r="AA28" s="507">
        <f>COUNTIF(I11:I22,"○")</f>
        <v>0</v>
      </c>
      <c r="AB28" s="511"/>
      <c r="AC28" s="511"/>
      <c r="AD28" s="511"/>
      <c r="AE28" s="511"/>
      <c r="AF28" s="511"/>
    </row>
    <row r="29" spans="2:32" s="8" customFormat="1" ht="16" customHeight="1" thickBot="1" x14ac:dyDescent="0.35">
      <c r="B29" s="114"/>
      <c r="C29" s="173" t="s">
        <v>22</v>
      </c>
      <c r="D29" s="170"/>
      <c r="E29" s="316">
        <f t="shared" si="0"/>
        <v>43850</v>
      </c>
      <c r="F29" s="466"/>
      <c r="G29" s="474"/>
      <c r="H29" s="313">
        <f t="shared" si="1"/>
        <v>43881</v>
      </c>
      <c r="I29" s="450"/>
      <c r="J29" s="473"/>
      <c r="K29" s="115"/>
      <c r="L29" s="106"/>
      <c r="M29" s="134"/>
      <c r="N29" s="173" t="s">
        <v>22</v>
      </c>
      <c r="O29" s="170"/>
      <c r="P29" s="419">
        <f t="shared" si="2"/>
        <v>44216</v>
      </c>
      <c r="Q29" s="458"/>
      <c r="R29" s="489"/>
      <c r="S29" s="313">
        <f t="shared" si="3"/>
        <v>44247</v>
      </c>
      <c r="T29" s="450"/>
      <c r="U29" s="473"/>
      <c r="V29" s="122"/>
      <c r="W29" s="35"/>
      <c r="X29" s="7"/>
      <c r="Y29" s="514"/>
      <c r="Z29" s="504">
        <v>42814</v>
      </c>
      <c r="AA29" s="506" t="s">
        <v>171</v>
      </c>
      <c r="AB29" s="511"/>
      <c r="AC29" s="511"/>
      <c r="AD29" s="511"/>
      <c r="AE29" s="511"/>
      <c r="AF29" s="511"/>
    </row>
    <row r="30" spans="2:32" s="8" customFormat="1" ht="16" customHeight="1" thickTop="1" x14ac:dyDescent="0.3">
      <c r="B30" s="114"/>
      <c r="C30" s="173" t="s">
        <v>22</v>
      </c>
      <c r="D30" s="170"/>
      <c r="E30" s="317">
        <f t="shared" si="0"/>
        <v>43851</v>
      </c>
      <c r="F30" s="303"/>
      <c r="G30" s="475"/>
      <c r="H30" s="315">
        <f t="shared" si="1"/>
        <v>43882</v>
      </c>
      <c r="I30" s="450"/>
      <c r="J30" s="473"/>
      <c r="K30" s="115"/>
      <c r="L30" s="106"/>
      <c r="M30" s="134"/>
      <c r="N30" s="173" t="s">
        <v>22</v>
      </c>
      <c r="O30" s="170"/>
      <c r="P30" s="284">
        <f t="shared" si="2"/>
        <v>44217</v>
      </c>
      <c r="Q30" s="467"/>
      <c r="R30" s="490"/>
      <c r="S30" s="269">
        <f t="shared" si="3"/>
        <v>44248</v>
      </c>
      <c r="T30" s="459"/>
      <c r="U30" s="473"/>
      <c r="V30" s="122"/>
      <c r="W30" s="35"/>
      <c r="X30" s="7"/>
      <c r="Y30" s="514" t="s">
        <v>179</v>
      </c>
      <c r="Z30" s="504">
        <v>42854</v>
      </c>
      <c r="AA30" s="512">
        <f>AA25+AA28</f>
        <v>0</v>
      </c>
      <c r="AB30" s="511"/>
      <c r="AC30" s="511"/>
      <c r="AD30" s="511"/>
      <c r="AE30" s="511"/>
      <c r="AF30" s="511"/>
    </row>
    <row r="31" spans="2:32" s="8" customFormat="1" ht="16" customHeight="1" x14ac:dyDescent="0.3">
      <c r="B31" s="114"/>
      <c r="C31" s="416"/>
      <c r="D31" s="170"/>
      <c r="E31" s="318">
        <f t="shared" si="0"/>
        <v>43852</v>
      </c>
      <c r="F31" s="300"/>
      <c r="G31" s="476"/>
      <c r="H31" s="315">
        <f t="shared" si="1"/>
        <v>43883</v>
      </c>
      <c r="I31" s="450"/>
      <c r="J31" s="473"/>
      <c r="K31" s="115"/>
      <c r="L31" s="106"/>
      <c r="M31" s="134"/>
      <c r="N31" s="173" t="s">
        <v>23</v>
      </c>
      <c r="O31" s="170"/>
      <c r="P31" s="145">
        <f t="shared" si="2"/>
        <v>44218</v>
      </c>
      <c r="Q31" s="213"/>
      <c r="R31" s="481"/>
      <c r="S31" s="270">
        <f t="shared" si="3"/>
        <v>44249</v>
      </c>
      <c r="T31" s="460"/>
      <c r="U31" s="473"/>
      <c r="V31" s="122"/>
      <c r="W31" s="35"/>
      <c r="X31" s="7"/>
      <c r="Y31" s="499" t="s">
        <v>159</v>
      </c>
      <c r="Z31" s="504">
        <v>42858</v>
      </c>
      <c r="AA31" s="506"/>
      <c r="AB31" s="511"/>
      <c r="AC31" s="511"/>
      <c r="AD31" s="511"/>
      <c r="AE31" s="511"/>
      <c r="AF31" s="511"/>
    </row>
    <row r="32" spans="2:32" s="8" customFormat="1" ht="16" customHeight="1" x14ac:dyDescent="0.3">
      <c r="B32" s="114"/>
      <c r="C32" s="173" t="s">
        <v>22</v>
      </c>
      <c r="D32" s="170"/>
      <c r="E32" s="318">
        <f t="shared" si="0"/>
        <v>43853</v>
      </c>
      <c r="F32" s="300"/>
      <c r="G32" s="476"/>
      <c r="H32" s="315">
        <f t="shared" si="1"/>
        <v>43884</v>
      </c>
      <c r="I32" s="450"/>
      <c r="J32" s="473"/>
      <c r="K32" s="115"/>
      <c r="L32" s="106"/>
      <c r="M32" s="134"/>
      <c r="N32" s="173" t="s">
        <v>22</v>
      </c>
      <c r="O32" s="170"/>
      <c r="P32" s="145">
        <f t="shared" si="2"/>
        <v>44219</v>
      </c>
      <c r="Q32" s="213"/>
      <c r="R32" s="481"/>
      <c r="S32" s="270">
        <f t="shared" si="3"/>
        <v>44250</v>
      </c>
      <c r="T32" s="460"/>
      <c r="U32" s="473"/>
      <c r="V32" s="122"/>
      <c r="W32" s="35"/>
      <c r="X32" s="7"/>
      <c r="Y32" s="499" t="e">
        <f>IF(#REF!="綾川町・まんのう町",0,SUM(I1:I4))</f>
        <v>#REF!</v>
      </c>
      <c r="Z32" s="504">
        <v>42859</v>
      </c>
      <c r="AA32" s="499" t="s">
        <v>180</v>
      </c>
      <c r="AB32" s="511"/>
      <c r="AC32" s="511"/>
      <c r="AD32" s="511"/>
      <c r="AE32" s="511"/>
      <c r="AF32" s="511"/>
    </row>
    <row r="33" spans="1:32" s="8" customFormat="1" ht="16" customHeight="1" thickBot="1" x14ac:dyDescent="0.35">
      <c r="B33" s="114"/>
      <c r="C33" s="173" t="s">
        <v>22</v>
      </c>
      <c r="D33" s="170"/>
      <c r="E33" s="363">
        <f t="shared" si="0"/>
        <v>43854</v>
      </c>
      <c r="F33" s="301"/>
      <c r="G33" s="477"/>
      <c r="H33" s="315">
        <f t="shared" si="1"/>
        <v>43885</v>
      </c>
      <c r="I33" s="450"/>
      <c r="J33" s="473"/>
      <c r="K33" s="115"/>
      <c r="L33" s="106"/>
      <c r="M33" s="134"/>
      <c r="N33" s="173" t="s">
        <v>22</v>
      </c>
      <c r="O33" s="170"/>
      <c r="P33" s="215">
        <f t="shared" si="2"/>
        <v>44220</v>
      </c>
      <c r="Q33" s="256"/>
      <c r="R33" s="482"/>
      <c r="S33" s="270">
        <f t="shared" si="3"/>
        <v>44251</v>
      </c>
      <c r="T33" s="460"/>
      <c r="U33" s="473"/>
      <c r="V33" s="122"/>
      <c r="W33" s="35"/>
      <c r="X33" s="7"/>
      <c r="Y33" s="499" t="s">
        <v>163</v>
      </c>
      <c r="Z33" s="504">
        <v>42860</v>
      </c>
      <c r="AA33" s="499"/>
      <c r="AB33" s="511"/>
      <c r="AC33" s="511"/>
      <c r="AD33" s="511"/>
      <c r="AE33" s="511"/>
      <c r="AF33" s="511"/>
    </row>
    <row r="34" spans="1:32" s="8" customFormat="1" ht="16" customHeight="1" thickTop="1" x14ac:dyDescent="0.3">
      <c r="B34" s="114"/>
      <c r="C34" s="173" t="s">
        <v>23</v>
      </c>
      <c r="D34" s="170"/>
      <c r="E34" s="317">
        <f t="shared" si="0"/>
        <v>43855</v>
      </c>
      <c r="F34" s="303"/>
      <c r="G34" s="475"/>
      <c r="H34" s="315">
        <f t="shared" si="1"/>
        <v>43886</v>
      </c>
      <c r="I34" s="450"/>
      <c r="J34" s="473"/>
      <c r="K34" s="115"/>
      <c r="L34" s="106"/>
      <c r="M34" s="134"/>
      <c r="N34" s="173" t="s">
        <v>22</v>
      </c>
      <c r="O34" s="170"/>
      <c r="P34" s="317">
        <f t="shared" si="2"/>
        <v>44221</v>
      </c>
      <c r="Q34" s="303"/>
      <c r="R34" s="475"/>
      <c r="S34" s="270">
        <f t="shared" si="3"/>
        <v>44252</v>
      </c>
      <c r="T34" s="460"/>
      <c r="U34" s="473"/>
      <c r="V34" s="122"/>
      <c r="W34" s="35"/>
      <c r="X34" s="7"/>
      <c r="Y34" s="516">
        <f>SUM(I5:I11)</f>
        <v>0</v>
      </c>
      <c r="Z34" s="504">
        <v>42933</v>
      </c>
      <c r="AA34" s="499" t="s">
        <v>164</v>
      </c>
      <c r="AB34" s="511"/>
      <c r="AC34" s="511"/>
      <c r="AD34" s="511"/>
      <c r="AE34" s="511"/>
      <c r="AF34" s="511"/>
    </row>
    <row r="35" spans="1:32" s="8" customFormat="1" ht="16" customHeight="1" x14ac:dyDescent="0.3">
      <c r="B35" s="114"/>
      <c r="C35" s="173" t="s">
        <v>22</v>
      </c>
      <c r="D35" s="170"/>
      <c r="E35" s="318">
        <f t="shared" si="0"/>
        <v>43856</v>
      </c>
      <c r="F35" s="300"/>
      <c r="G35" s="476"/>
      <c r="H35" s="315">
        <f t="shared" si="1"/>
        <v>43887</v>
      </c>
      <c r="I35" s="450"/>
      <c r="J35" s="473"/>
      <c r="K35" s="115"/>
      <c r="L35" s="106"/>
      <c r="M35" s="134"/>
      <c r="N35" s="173" t="s">
        <v>23</v>
      </c>
      <c r="O35" s="170"/>
      <c r="P35" s="364">
        <f t="shared" si="2"/>
        <v>44222</v>
      </c>
      <c r="Q35" s="214"/>
      <c r="R35" s="480"/>
      <c r="S35" s="270">
        <f t="shared" si="3"/>
        <v>44253</v>
      </c>
      <c r="T35" s="460"/>
      <c r="U35" s="473"/>
      <c r="V35" s="122"/>
      <c r="W35" s="35"/>
      <c r="X35" s="7"/>
      <c r="Y35" s="517" t="s">
        <v>171</v>
      </c>
      <c r="Z35" s="504">
        <v>42958</v>
      </c>
      <c r="AA35" s="499">
        <f>IF(T3="綾川町・まんのう町・直島町　以外",COUNTIF(Q30:Q33,"○"),0)</f>
        <v>0</v>
      </c>
      <c r="AB35" s="511"/>
      <c r="AC35" s="511"/>
      <c r="AD35" s="511"/>
      <c r="AE35" s="511"/>
      <c r="AF35" s="511"/>
    </row>
    <row r="36" spans="1:32" s="8" customFormat="1" ht="16" customHeight="1" x14ac:dyDescent="0.3">
      <c r="B36" s="114"/>
      <c r="C36" s="173" t="s">
        <v>22</v>
      </c>
      <c r="D36" s="170"/>
      <c r="E36" s="318">
        <f t="shared" si="0"/>
        <v>43857</v>
      </c>
      <c r="F36" s="300"/>
      <c r="G36" s="476"/>
      <c r="H36" s="315">
        <f t="shared" si="1"/>
        <v>43888</v>
      </c>
      <c r="I36" s="450"/>
      <c r="J36" s="473"/>
      <c r="K36" s="115"/>
      <c r="L36" s="106"/>
      <c r="M36" s="134"/>
      <c r="N36" s="173" t="s">
        <v>22</v>
      </c>
      <c r="O36" s="170"/>
      <c r="P36" s="145">
        <f t="shared" si="2"/>
        <v>44223</v>
      </c>
      <c r="Q36" s="213"/>
      <c r="R36" s="481"/>
      <c r="S36" s="270">
        <f t="shared" si="3"/>
        <v>44254</v>
      </c>
      <c r="T36" s="460"/>
      <c r="U36" s="473"/>
      <c r="V36" s="122"/>
      <c r="W36" s="35"/>
      <c r="X36" s="7"/>
      <c r="Y36" s="518" t="e">
        <f>Y32+Y34</f>
        <v>#REF!</v>
      </c>
      <c r="Z36" s="504">
        <v>42996</v>
      </c>
      <c r="AA36" s="499"/>
      <c r="AB36" s="511"/>
      <c r="AC36" s="511"/>
      <c r="AD36" s="511"/>
      <c r="AE36" s="511"/>
      <c r="AF36" s="511"/>
    </row>
    <row r="37" spans="1:32" s="8" customFormat="1" ht="16" customHeight="1" x14ac:dyDescent="0.3">
      <c r="B37" s="114"/>
      <c r="C37" s="173" t="s">
        <v>22</v>
      </c>
      <c r="D37" s="170"/>
      <c r="E37" s="318">
        <f t="shared" si="0"/>
        <v>43858</v>
      </c>
      <c r="F37" s="300"/>
      <c r="G37" s="476"/>
      <c r="H37" s="315">
        <f t="shared" si="1"/>
        <v>43889</v>
      </c>
      <c r="I37" s="450"/>
      <c r="J37" s="473"/>
      <c r="K37" s="115"/>
      <c r="L37" s="106"/>
      <c r="M37" s="134"/>
      <c r="N37" s="173" t="s">
        <v>22</v>
      </c>
      <c r="O37" s="170"/>
      <c r="P37" s="145">
        <f t="shared" si="2"/>
        <v>44224</v>
      </c>
      <c r="Q37" s="278"/>
      <c r="R37" s="481"/>
      <c r="S37" s="270">
        <f t="shared" si="3"/>
        <v>44255</v>
      </c>
      <c r="T37" s="211"/>
      <c r="U37" s="473"/>
      <c r="V37" s="122"/>
      <c r="W37" s="35"/>
      <c r="X37" s="7"/>
      <c r="Y37" s="517" t="s">
        <v>165</v>
      </c>
      <c r="Z37" s="504">
        <v>43001</v>
      </c>
      <c r="AA37" s="499" t="s">
        <v>163</v>
      </c>
      <c r="AB37" s="511"/>
      <c r="AC37" s="511"/>
      <c r="AD37" s="511"/>
      <c r="AE37" s="511"/>
      <c r="AF37" s="511"/>
    </row>
    <row r="38" spans="1:32" s="8" customFormat="1" ht="16" customHeight="1" x14ac:dyDescent="0.3">
      <c r="B38" s="114"/>
      <c r="C38" s="173" t="s">
        <v>22</v>
      </c>
      <c r="D38" s="170"/>
      <c r="E38" s="318">
        <f t="shared" si="0"/>
        <v>43859</v>
      </c>
      <c r="F38" s="300"/>
      <c r="G38" s="476"/>
      <c r="H38" s="315">
        <f t="shared" si="1"/>
        <v>43890</v>
      </c>
      <c r="I38" s="450"/>
      <c r="J38" s="473"/>
      <c r="K38" s="115"/>
      <c r="L38" s="106"/>
      <c r="M38" s="134"/>
      <c r="N38" s="173" t="s">
        <v>7</v>
      </c>
      <c r="O38" s="170"/>
      <c r="P38" s="145">
        <f t="shared" si="2"/>
        <v>44225</v>
      </c>
      <c r="Q38" s="278"/>
      <c r="R38" s="481"/>
      <c r="S38" s="430" t="str">
        <f>IF(S37="","",IF(DAY(S37+1)=1,"",S37+1))</f>
        <v/>
      </c>
      <c r="T38" s="429"/>
      <c r="U38" s="422"/>
      <c r="V38" s="122"/>
      <c r="W38" s="35"/>
      <c r="X38" s="7"/>
      <c r="Y38" s="499" t="e">
        <f>IF(#REF!="直島町",0,1)</f>
        <v>#REF!</v>
      </c>
      <c r="Z38" s="504">
        <v>43017</v>
      </c>
      <c r="AA38" s="507">
        <f>COUNTIF(Q36:Q42,"○")</f>
        <v>0</v>
      </c>
      <c r="AB38" s="511"/>
      <c r="AC38" s="511"/>
      <c r="AD38" s="511"/>
      <c r="AE38" s="511"/>
      <c r="AF38" s="511"/>
    </row>
    <row r="39" spans="1:32" s="8" customFormat="1" ht="16" customHeight="1" x14ac:dyDescent="0.3">
      <c r="B39" s="114"/>
      <c r="C39" s="173" t="s">
        <v>7</v>
      </c>
      <c r="D39" s="170"/>
      <c r="E39" s="318">
        <f t="shared" si="0"/>
        <v>43860</v>
      </c>
      <c r="F39" s="300"/>
      <c r="G39" s="476"/>
      <c r="H39" s="421" t="str">
        <f>IF(H38="","",IF(DAY(H38+1)=1,"",H38+1))</f>
        <v/>
      </c>
      <c r="I39" s="424"/>
      <c r="J39" s="422"/>
      <c r="K39" s="115"/>
      <c r="L39" s="106"/>
      <c r="M39" s="134"/>
      <c r="N39" s="173" t="s">
        <v>7</v>
      </c>
      <c r="O39" s="170"/>
      <c r="P39" s="215">
        <f t="shared" si="2"/>
        <v>44226</v>
      </c>
      <c r="Q39" s="213"/>
      <c r="R39" s="481"/>
      <c r="S39" s="423" t="str">
        <f t="shared" ref="S39:S40" si="4">IF(S37="","",IF(DAY(S37+1)=1,"",S37+1))</f>
        <v/>
      </c>
      <c r="T39" s="425"/>
      <c r="U39" s="188"/>
      <c r="V39" s="122"/>
      <c r="W39" s="35"/>
      <c r="X39" s="7"/>
      <c r="Y39" s="499" t="e">
        <f>Y36*Y38</f>
        <v>#REF!</v>
      </c>
      <c r="Z39" s="504"/>
      <c r="AA39" s="506" t="s">
        <v>171</v>
      </c>
      <c r="AB39" s="511"/>
      <c r="AC39" s="511"/>
      <c r="AD39" s="511"/>
      <c r="AE39" s="511"/>
      <c r="AF39" s="511"/>
    </row>
    <row r="40" spans="1:32" s="8" customFormat="1" ht="16" customHeight="1" thickBot="1" x14ac:dyDescent="0.35">
      <c r="B40" s="114"/>
      <c r="C40" s="173" t="s">
        <v>7</v>
      </c>
      <c r="D40" s="170"/>
      <c r="E40" s="319">
        <f>IF(E39="","",IF(DAY(E39+1)=1,"",E39+1))</f>
        <v>43861</v>
      </c>
      <c r="F40" s="306"/>
      <c r="G40" s="478"/>
      <c r="H40" s="423" t="str">
        <f t="shared" ref="H40" si="5">IF(H38="","",IF(DAY(H38+1)=1,"",H38+1))</f>
        <v/>
      </c>
      <c r="I40" s="425"/>
      <c r="J40" s="188"/>
      <c r="K40" s="115"/>
      <c r="L40" s="106"/>
      <c r="M40" s="134"/>
      <c r="N40" s="173" t="s">
        <v>7</v>
      </c>
      <c r="O40" s="170"/>
      <c r="P40" s="310">
        <f>IF(P39="","",IF(DAY(P39+1)=1,"",P39+1))</f>
        <v>44227</v>
      </c>
      <c r="Q40" s="311"/>
      <c r="R40" s="492"/>
      <c r="S40" s="423" t="str">
        <f t="shared" si="4"/>
        <v/>
      </c>
      <c r="T40" s="425"/>
      <c r="U40" s="188"/>
      <c r="V40" s="122"/>
      <c r="W40" s="35"/>
      <c r="X40" s="7"/>
      <c r="Y40" s="514"/>
      <c r="Z40" s="504"/>
      <c r="AA40" s="512">
        <f>AA35+AA38</f>
        <v>0</v>
      </c>
      <c r="AB40" s="511"/>
      <c r="AC40" s="511"/>
      <c r="AD40" s="511"/>
      <c r="AE40" s="511"/>
      <c r="AF40" s="511"/>
    </row>
    <row r="41" spans="1:32" s="8" customFormat="1" ht="7.5" customHeight="1" thickTop="1" x14ac:dyDescent="0.3">
      <c r="B41" s="114"/>
      <c r="C41" s="173" t="s">
        <v>22</v>
      </c>
      <c r="D41" s="173" t="s">
        <v>7</v>
      </c>
      <c r="E41" s="173" t="s">
        <v>7</v>
      </c>
      <c r="F41" s="173" t="s">
        <v>7</v>
      </c>
      <c r="G41" s="173" t="s">
        <v>7</v>
      </c>
      <c r="H41" s="173" t="s">
        <v>7</v>
      </c>
      <c r="I41" s="173" t="s">
        <v>7</v>
      </c>
      <c r="J41" s="173" t="s">
        <v>7</v>
      </c>
      <c r="K41" s="115"/>
      <c r="L41" s="106"/>
      <c r="M41" s="134"/>
      <c r="N41" s="173" t="s">
        <v>7</v>
      </c>
      <c r="O41" s="173" t="s">
        <v>7</v>
      </c>
      <c r="P41" s="173" t="s">
        <v>7</v>
      </c>
      <c r="Q41" s="173" t="s">
        <v>7</v>
      </c>
      <c r="R41" s="173" t="s">
        <v>7</v>
      </c>
      <c r="S41" s="173" t="s">
        <v>7</v>
      </c>
      <c r="T41" s="173" t="s">
        <v>7</v>
      </c>
      <c r="U41" s="173" t="s">
        <v>7</v>
      </c>
      <c r="V41" s="122"/>
      <c r="W41" s="35"/>
      <c r="X41" s="7"/>
      <c r="Y41" s="514"/>
      <c r="Z41" s="504">
        <v>43042</v>
      </c>
      <c r="AA41" s="506" t="s">
        <v>165</v>
      </c>
      <c r="AB41" s="511"/>
      <c r="AC41" s="511"/>
      <c r="AD41" s="511"/>
      <c r="AE41" s="511"/>
      <c r="AF41" s="511"/>
    </row>
    <row r="42" spans="1:32" ht="9" customHeight="1" thickBot="1" x14ac:dyDescent="0.35">
      <c r="A42" s="11"/>
      <c r="B42" s="148"/>
      <c r="C42" s="171"/>
      <c r="D42" s="149"/>
      <c r="E42" s="150"/>
      <c r="F42" s="150"/>
      <c r="G42" s="150"/>
      <c r="H42" s="150"/>
      <c r="I42" s="150"/>
      <c r="J42" s="150"/>
      <c r="K42" s="151"/>
      <c r="L42" s="144"/>
      <c r="M42" s="152"/>
      <c r="N42" s="149" t="e">
        <f>+DATE(N5,4,1)</f>
        <v>#VALUE!</v>
      </c>
      <c r="O42" s="149"/>
      <c r="P42" s="153"/>
      <c r="Q42" s="153"/>
      <c r="R42" s="154"/>
      <c r="S42" s="153"/>
      <c r="T42" s="153"/>
      <c r="U42" s="154"/>
      <c r="V42" s="155"/>
      <c r="W42" s="10"/>
      <c r="X42" s="2"/>
      <c r="Y42" s="514"/>
      <c r="Z42" s="500"/>
      <c r="AA42" s="499">
        <f>IF(T3="直島町",0,1)</f>
        <v>1</v>
      </c>
      <c r="AB42" s="499"/>
      <c r="AC42" s="499"/>
      <c r="AD42" s="499"/>
      <c r="AE42" s="499"/>
      <c r="AF42" s="499"/>
    </row>
    <row r="43" spans="1:32" s="27" customFormat="1" ht="16" customHeight="1" x14ac:dyDescent="0.3">
      <c r="A43" s="99"/>
      <c r="B43" s="120"/>
      <c r="C43" s="146" t="s">
        <v>18</v>
      </c>
      <c r="D43" s="12"/>
      <c r="E43" s="12"/>
      <c r="F43" s="12"/>
      <c r="G43" s="28"/>
      <c r="H43" s="12"/>
      <c r="I43" s="12"/>
      <c r="J43" s="28"/>
      <c r="K43" s="121"/>
      <c r="L43" s="28"/>
      <c r="M43" s="138"/>
      <c r="N43" s="146" t="s">
        <v>18</v>
      </c>
      <c r="O43" s="12"/>
      <c r="P43" s="12"/>
      <c r="Q43" s="12"/>
      <c r="R43" s="28"/>
      <c r="S43" s="12"/>
      <c r="T43" s="12"/>
      <c r="U43" s="28"/>
      <c r="V43" s="121"/>
      <c r="W43" s="36"/>
      <c r="X43" s="29"/>
      <c r="Y43" s="514"/>
      <c r="Z43" s="502"/>
      <c r="AA43" s="513">
        <f>AA40*AA42</f>
        <v>0</v>
      </c>
      <c r="AB43" s="503"/>
      <c r="AC43" s="503"/>
      <c r="AD43" s="503"/>
      <c r="AE43" s="503"/>
      <c r="AF43" s="503"/>
    </row>
    <row r="44" spans="1:32" ht="16" customHeight="1" x14ac:dyDescent="0.3">
      <c r="B44" s="156"/>
      <c r="K44" s="157"/>
      <c r="M44" s="156"/>
      <c r="V44" s="157"/>
      <c r="Y44" s="501"/>
      <c r="Z44" s="504">
        <v>43220</v>
      </c>
      <c r="AA44" s="499"/>
      <c r="AB44" s="499"/>
      <c r="AC44" s="499"/>
      <c r="AD44" s="499"/>
      <c r="AE44" s="499"/>
      <c r="AF44" s="499"/>
    </row>
    <row r="45" spans="1:32" s="8" customFormat="1" ht="16" customHeight="1" x14ac:dyDescent="0.3">
      <c r="B45" s="114"/>
      <c r="C45" s="142" t="s">
        <v>4</v>
      </c>
      <c r="D45" s="12"/>
      <c r="E45" s="12"/>
      <c r="F45" s="12"/>
      <c r="G45" s="28"/>
      <c r="H45" s="12"/>
      <c r="I45" s="12"/>
      <c r="J45" s="28"/>
      <c r="K45" s="121"/>
      <c r="L45" s="28"/>
      <c r="M45" s="138"/>
      <c r="N45" s="142" t="s">
        <v>5</v>
      </c>
      <c r="O45" s="12"/>
      <c r="P45" s="12"/>
      <c r="Q45" s="12"/>
      <c r="R45" s="28"/>
      <c r="S45" s="12"/>
      <c r="T45" s="12"/>
      <c r="U45" s="28"/>
      <c r="V45" s="121"/>
      <c r="W45" s="35"/>
      <c r="X45" s="7"/>
      <c r="Y45" s="520"/>
      <c r="Z45" s="504"/>
      <c r="AA45" s="503"/>
      <c r="AB45" s="511"/>
      <c r="AC45" s="511"/>
      <c r="AD45" s="511"/>
      <c r="AE45" s="511"/>
      <c r="AF45" s="511"/>
    </row>
    <row r="46" spans="1:32" ht="16" customHeight="1" x14ac:dyDescent="0.3">
      <c r="B46" s="110"/>
      <c r="C46" s="11" t="s">
        <v>112</v>
      </c>
      <c r="D46" s="11"/>
      <c r="E46" s="11"/>
      <c r="F46" s="11"/>
      <c r="G46" s="25"/>
      <c r="H46" s="11"/>
      <c r="I46" s="11"/>
      <c r="J46" s="25"/>
      <c r="K46" s="118"/>
      <c r="L46" s="25"/>
      <c r="M46" s="136"/>
      <c r="N46" s="11" t="s">
        <v>113</v>
      </c>
      <c r="O46" s="11"/>
      <c r="P46" s="13"/>
      <c r="Q46" s="13"/>
      <c r="R46" s="26"/>
      <c r="S46" s="13"/>
      <c r="T46" s="13"/>
      <c r="U46" s="26"/>
      <c r="V46" s="137"/>
      <c r="Y46" s="501"/>
      <c r="Z46" s="504">
        <v>43092</v>
      </c>
      <c r="AA46" s="499"/>
      <c r="AB46" s="499"/>
      <c r="AC46" s="499"/>
      <c r="AD46" s="499"/>
      <c r="AE46" s="499"/>
      <c r="AF46" s="499"/>
    </row>
    <row r="47" spans="1:32" s="27" customFormat="1" ht="16" customHeight="1" thickBot="1" x14ac:dyDescent="0.35">
      <c r="B47" s="120"/>
      <c r="D47" s="12"/>
      <c r="E47" s="103" t="s">
        <v>67</v>
      </c>
      <c r="F47" s="12"/>
      <c r="G47" s="28"/>
      <c r="H47" s="12"/>
      <c r="I47" s="12"/>
      <c r="J47" s="28"/>
      <c r="K47" s="121"/>
      <c r="L47" s="28"/>
      <c r="M47" s="138"/>
      <c r="O47" s="12"/>
      <c r="P47" s="103" t="s">
        <v>127</v>
      </c>
      <c r="Q47" s="12"/>
      <c r="R47" s="28"/>
      <c r="S47" s="12"/>
      <c r="T47" s="12"/>
      <c r="U47" s="28"/>
      <c r="V47" s="121"/>
      <c r="W47" s="36"/>
      <c r="X47" s="29"/>
      <c r="Y47" s="522"/>
      <c r="Z47" s="502"/>
      <c r="AA47" s="511" t="s">
        <v>181</v>
      </c>
      <c r="AB47" s="503"/>
      <c r="AC47" s="503"/>
      <c r="AD47" s="503"/>
      <c r="AE47" s="503"/>
      <c r="AF47" s="503"/>
    </row>
    <row r="48" spans="1:32" s="8" customFormat="1" ht="16" customHeight="1" thickBot="1" x14ac:dyDescent="0.35">
      <c r="B48" s="114"/>
      <c r="C48" s="596"/>
      <c r="D48" s="596"/>
      <c r="E48" s="587" t="s">
        <v>61</v>
      </c>
      <c r="F48" s="587"/>
      <c r="G48" s="493">
        <f>SUM(G10:G40)*Y15</f>
        <v>0</v>
      </c>
      <c r="H48" s="587" t="s">
        <v>62</v>
      </c>
      <c r="I48" s="587"/>
      <c r="J48" s="493">
        <f>SUM(J10:J38)</f>
        <v>0</v>
      </c>
      <c r="K48" s="115"/>
      <c r="L48" s="106"/>
      <c r="M48" s="134"/>
      <c r="N48" s="596"/>
      <c r="O48" s="596"/>
      <c r="P48" s="578" t="s">
        <v>70</v>
      </c>
      <c r="Q48" s="579"/>
      <c r="R48" s="493">
        <f>SUM(R10:R40)*Y15</f>
        <v>0</v>
      </c>
      <c r="S48" s="578" t="s">
        <v>71</v>
      </c>
      <c r="T48" s="579"/>
      <c r="U48" s="493">
        <f>SUM(U10:U37)</f>
        <v>0</v>
      </c>
      <c r="V48" s="122"/>
      <c r="W48" s="35"/>
      <c r="X48" s="7"/>
      <c r="Y48" s="499"/>
      <c r="Z48" s="504">
        <v>43062</v>
      </c>
      <c r="AA48" s="499" t="s">
        <v>165</v>
      </c>
      <c r="AB48" s="511"/>
      <c r="AC48" s="511"/>
      <c r="AD48" s="511"/>
      <c r="AE48" s="511"/>
      <c r="AF48" s="511"/>
    </row>
    <row r="49" spans="2:32" s="8" customFormat="1" ht="16" customHeight="1" x14ac:dyDescent="0.3">
      <c r="B49" s="114"/>
      <c r="C49" s="595"/>
      <c r="D49" s="595"/>
      <c r="E49" s="574" t="s">
        <v>63</v>
      </c>
      <c r="F49" s="574"/>
      <c r="G49" s="494">
        <f>(31-G50)*Y15</f>
        <v>31</v>
      </c>
      <c r="H49" s="574" t="s">
        <v>65</v>
      </c>
      <c r="I49" s="574"/>
      <c r="J49" s="494">
        <f>29-J50</f>
        <v>29</v>
      </c>
      <c r="K49" s="119"/>
      <c r="L49" s="58"/>
      <c r="M49" s="138"/>
      <c r="N49" s="595"/>
      <c r="O49" s="595"/>
      <c r="P49" s="582" t="s">
        <v>63</v>
      </c>
      <c r="Q49" s="583"/>
      <c r="R49" s="498">
        <f>(31-R50)*Y15</f>
        <v>31</v>
      </c>
      <c r="S49" s="582" t="s">
        <v>65</v>
      </c>
      <c r="T49" s="583"/>
      <c r="U49" s="498">
        <f>28-U50</f>
        <v>28</v>
      </c>
      <c r="V49" s="121"/>
      <c r="W49" s="35"/>
      <c r="X49" s="7"/>
      <c r="Y49" s="517"/>
      <c r="Z49" s="504"/>
      <c r="AA49" s="499">
        <f>IF(T3="直島町",0,COUNTIF(T10,"○"))</f>
        <v>0</v>
      </c>
      <c r="AB49" s="511"/>
      <c r="AC49" s="511"/>
      <c r="AD49" s="511"/>
      <c r="AE49" s="511"/>
      <c r="AF49" s="511"/>
    </row>
    <row r="50" spans="2:32" s="8" customFormat="1" ht="16" customHeight="1" x14ac:dyDescent="0.3">
      <c r="B50" s="114"/>
      <c r="C50" s="595"/>
      <c r="D50" s="595"/>
      <c r="E50" s="574" t="s">
        <v>64</v>
      </c>
      <c r="F50" s="574"/>
      <c r="G50" s="494">
        <f>COUNTIF(F10:F40,"○")*Y15</f>
        <v>0</v>
      </c>
      <c r="H50" s="574" t="s">
        <v>66</v>
      </c>
      <c r="I50" s="574"/>
      <c r="J50" s="494">
        <f>COUNTIF(I10:I38,"○")</f>
        <v>0</v>
      </c>
      <c r="K50" s="119"/>
      <c r="L50" s="58"/>
      <c r="M50" s="138"/>
      <c r="N50" s="595"/>
      <c r="O50" s="595"/>
      <c r="P50" s="582" t="s">
        <v>64</v>
      </c>
      <c r="Q50" s="583"/>
      <c r="R50" s="495">
        <f>COUNTIF(Q10:Q40,"○")*Y15</f>
        <v>0</v>
      </c>
      <c r="S50" s="584" t="s">
        <v>66</v>
      </c>
      <c r="T50" s="583"/>
      <c r="U50" s="494">
        <f>COUNTIF(T10:T37,"○")</f>
        <v>0</v>
      </c>
      <c r="V50" s="121"/>
      <c r="W50" s="35"/>
      <c r="X50" s="7"/>
      <c r="Y50" s="522"/>
      <c r="Z50" s="504"/>
      <c r="AA50" s="499"/>
      <c r="AB50" s="511"/>
      <c r="AC50" s="511"/>
      <c r="AD50" s="511"/>
      <c r="AE50" s="511"/>
      <c r="AF50" s="511"/>
    </row>
    <row r="51" spans="2:32" ht="16" customHeight="1" x14ac:dyDescent="0.3">
      <c r="B51" s="110"/>
      <c r="C51" s="322"/>
      <c r="D51" s="322"/>
      <c r="E51" s="569" t="s">
        <v>76</v>
      </c>
      <c r="F51" s="570"/>
      <c r="G51" s="570"/>
      <c r="H51" s="570"/>
      <c r="I51" s="571"/>
      <c r="J51" s="496">
        <f>G48+J48</f>
        <v>0</v>
      </c>
      <c r="K51" s="180"/>
      <c r="L51" s="37"/>
      <c r="M51" s="110"/>
      <c r="N51" s="322"/>
      <c r="O51" s="322"/>
      <c r="P51" s="569" t="s">
        <v>78</v>
      </c>
      <c r="Q51" s="570"/>
      <c r="R51" s="570"/>
      <c r="S51" s="570"/>
      <c r="T51" s="571"/>
      <c r="U51" s="496">
        <f>R48+U48</f>
        <v>0</v>
      </c>
      <c r="V51" s="164"/>
      <c r="Y51" s="522"/>
      <c r="Z51" s="504">
        <v>43142</v>
      </c>
      <c r="AA51" s="499" t="s">
        <v>172</v>
      </c>
      <c r="AB51" s="499"/>
      <c r="AC51" s="499"/>
      <c r="AD51" s="499"/>
      <c r="AE51" s="499"/>
      <c r="AF51" s="499"/>
    </row>
    <row r="52" spans="2:32" ht="16" customHeight="1" x14ac:dyDescent="0.3">
      <c r="B52" s="110"/>
      <c r="C52" s="322"/>
      <c r="D52" s="322"/>
      <c r="E52" s="569" t="s">
        <v>77</v>
      </c>
      <c r="F52" s="570"/>
      <c r="G52" s="570"/>
      <c r="H52" s="570"/>
      <c r="I52" s="571"/>
      <c r="J52" s="524">
        <f>G49+J49</f>
        <v>60</v>
      </c>
      <c r="K52" s="180"/>
      <c r="L52" s="37"/>
      <c r="M52" s="110"/>
      <c r="N52" s="322"/>
      <c r="O52" s="322"/>
      <c r="P52" s="569" t="s">
        <v>79</v>
      </c>
      <c r="Q52" s="570"/>
      <c r="R52" s="570"/>
      <c r="S52" s="570"/>
      <c r="T52" s="571"/>
      <c r="U52" s="524">
        <f>R49+U49</f>
        <v>59</v>
      </c>
      <c r="V52" s="164"/>
      <c r="Y52" s="522"/>
      <c r="Z52" s="504">
        <v>43142</v>
      </c>
      <c r="AA52" s="507">
        <f>COUNTIF(T11:T22,"○")</f>
        <v>0</v>
      </c>
      <c r="AB52" s="499"/>
      <c r="AC52" s="499"/>
      <c r="AD52" s="499"/>
      <c r="AE52" s="499"/>
      <c r="AF52" s="499"/>
    </row>
    <row r="53" spans="2:32" ht="16" customHeight="1" x14ac:dyDescent="0.3">
      <c r="B53" s="110"/>
      <c r="C53" s="322"/>
      <c r="D53" s="322"/>
      <c r="E53" s="569" t="s">
        <v>14</v>
      </c>
      <c r="F53" s="570"/>
      <c r="G53" s="570"/>
      <c r="H53" s="570"/>
      <c r="I53" s="571"/>
      <c r="J53" s="497">
        <f>ROUNDUP(J51/J52,0)</f>
        <v>0</v>
      </c>
      <c r="K53" s="180" t="s">
        <v>26</v>
      </c>
      <c r="L53" s="37"/>
      <c r="M53" s="110"/>
      <c r="N53" s="322"/>
      <c r="O53" s="322"/>
      <c r="P53" s="569" t="s">
        <v>69</v>
      </c>
      <c r="Q53" s="570"/>
      <c r="R53" s="570"/>
      <c r="S53" s="570"/>
      <c r="T53" s="571"/>
      <c r="U53" s="497">
        <f>ROUNDUP(U51/U52,0)</f>
        <v>0</v>
      </c>
      <c r="V53" s="164" t="s">
        <v>80</v>
      </c>
      <c r="Y53" s="501"/>
      <c r="Z53" s="504">
        <v>43142</v>
      </c>
      <c r="AA53" s="506" t="s">
        <v>171</v>
      </c>
      <c r="AB53" s="499"/>
      <c r="AC53" s="499"/>
      <c r="AD53" s="499"/>
      <c r="AE53" s="499"/>
      <c r="AF53" s="499"/>
    </row>
    <row r="54" spans="2:32" ht="16" customHeight="1" thickBot="1" x14ac:dyDescent="0.35">
      <c r="B54" s="110"/>
      <c r="C54" s="11"/>
      <c r="D54" s="11"/>
      <c r="E54" s="11"/>
      <c r="F54" s="11"/>
      <c r="G54" s="59"/>
      <c r="H54" s="11"/>
      <c r="I54" s="11"/>
      <c r="J54" s="59" t="s">
        <v>8</v>
      </c>
      <c r="K54" s="140"/>
      <c r="L54" s="141"/>
      <c r="M54" s="110"/>
      <c r="N54" s="11"/>
      <c r="O54" s="11"/>
      <c r="P54" s="11"/>
      <c r="Q54" s="11"/>
      <c r="R54" s="59"/>
      <c r="S54" s="11"/>
      <c r="T54" s="11"/>
      <c r="U54" s="59" t="s">
        <v>8</v>
      </c>
      <c r="V54" s="123"/>
      <c r="Y54" s="499"/>
      <c r="Z54" s="504">
        <v>43143</v>
      </c>
      <c r="AA54" s="512">
        <f>AA49+AA52</f>
        <v>0</v>
      </c>
      <c r="AB54" s="499"/>
      <c r="AC54" s="499"/>
      <c r="AD54" s="499"/>
      <c r="AE54" s="499"/>
      <c r="AF54" s="499"/>
    </row>
    <row r="55" spans="2:32" ht="16" customHeight="1" x14ac:dyDescent="0.3">
      <c r="B55" s="124"/>
      <c r="C55" s="143" t="s">
        <v>6</v>
      </c>
      <c r="D55" s="41"/>
      <c r="E55" s="38"/>
      <c r="F55" s="38"/>
      <c r="G55" s="38"/>
      <c r="H55" s="38"/>
      <c r="I55" s="38"/>
      <c r="J55" s="38"/>
      <c r="K55" s="125"/>
      <c r="L55" s="11"/>
      <c r="M55" s="124"/>
      <c r="N55" s="143" t="s">
        <v>6</v>
      </c>
      <c r="O55" s="41"/>
      <c r="P55" s="38"/>
      <c r="Q55" s="38"/>
      <c r="R55" s="38"/>
      <c r="S55" s="38"/>
      <c r="T55" s="38"/>
      <c r="U55" s="38"/>
      <c r="V55" s="125"/>
      <c r="Y55" s="499"/>
      <c r="Z55" s="504"/>
      <c r="AA55" s="499"/>
      <c r="AB55" s="499"/>
      <c r="AC55" s="499"/>
      <c r="AD55" s="499"/>
      <c r="AE55" s="499"/>
      <c r="AF55" s="499"/>
    </row>
    <row r="56" spans="2:32" ht="30.5" customHeight="1" x14ac:dyDescent="0.3">
      <c r="B56" s="110"/>
      <c r="C56" s="575" t="s">
        <v>140</v>
      </c>
      <c r="D56" s="576"/>
      <c r="E56" s="576"/>
      <c r="F56" s="576"/>
      <c r="G56" s="576"/>
      <c r="H56" s="576"/>
      <c r="I56" s="576"/>
      <c r="J56" s="576"/>
      <c r="K56" s="118"/>
      <c r="L56" s="25"/>
      <c r="M56" s="325"/>
      <c r="N56" s="575" t="s">
        <v>142</v>
      </c>
      <c r="O56" s="576"/>
      <c r="P56" s="576"/>
      <c r="Q56" s="576"/>
      <c r="R56" s="576"/>
      <c r="S56" s="576"/>
      <c r="T56" s="576"/>
      <c r="U56" s="576"/>
      <c r="V56" s="137"/>
      <c r="Y56" s="499"/>
      <c r="Z56" s="504">
        <v>43092</v>
      </c>
      <c r="AA56" s="499"/>
      <c r="AB56" s="499"/>
      <c r="AC56" s="499"/>
      <c r="AD56" s="499"/>
      <c r="AE56" s="499"/>
      <c r="AF56" s="499"/>
    </row>
    <row r="57" spans="2:32" ht="16" customHeight="1" thickBot="1" x14ac:dyDescent="0.35">
      <c r="B57" s="110"/>
      <c r="D57" s="11"/>
      <c r="E57" s="103" t="s">
        <v>128</v>
      </c>
      <c r="F57" s="11"/>
      <c r="G57" s="25"/>
      <c r="H57" s="11"/>
      <c r="I57" s="11"/>
      <c r="J57" s="25"/>
      <c r="K57" s="118"/>
      <c r="L57" s="25"/>
      <c r="M57" s="136"/>
      <c r="O57" s="11"/>
      <c r="P57" s="103" t="s">
        <v>129</v>
      </c>
      <c r="Q57" s="13"/>
      <c r="R57" s="26"/>
      <c r="S57" s="13"/>
      <c r="T57" s="13"/>
      <c r="U57" s="26"/>
      <c r="V57" s="137"/>
      <c r="Y57" s="499"/>
      <c r="Z57" s="504"/>
      <c r="AA57" s="499"/>
      <c r="AB57" s="499"/>
      <c r="AC57" s="499"/>
      <c r="AD57" s="499"/>
      <c r="AE57" s="499"/>
      <c r="AF57" s="499"/>
    </row>
    <row r="58" spans="2:32" s="8" customFormat="1" ht="16" customHeight="1" thickBot="1" x14ac:dyDescent="0.35">
      <c r="B58" s="114"/>
      <c r="C58" s="596"/>
      <c r="D58" s="596"/>
      <c r="E58" s="578" t="s">
        <v>72</v>
      </c>
      <c r="F58" s="579"/>
      <c r="G58" s="493">
        <f>Y70</f>
        <v>0</v>
      </c>
      <c r="H58" s="578" t="s">
        <v>73</v>
      </c>
      <c r="I58" s="579"/>
      <c r="J58" s="493">
        <f>AA67</f>
        <v>0</v>
      </c>
      <c r="K58" s="115"/>
      <c r="L58" s="106"/>
      <c r="M58" s="134"/>
      <c r="N58" s="596"/>
      <c r="O58" s="596"/>
      <c r="P58" s="578" t="s">
        <v>74</v>
      </c>
      <c r="Q58" s="579"/>
      <c r="R58" s="493">
        <f>Y81</f>
        <v>0</v>
      </c>
      <c r="S58" s="578" t="s">
        <v>75</v>
      </c>
      <c r="T58" s="579"/>
      <c r="U58" s="493">
        <f>AA78</f>
        <v>0</v>
      </c>
      <c r="V58" s="122"/>
      <c r="W58" s="35"/>
      <c r="X58" s="7"/>
      <c r="Y58" s="518">
        <f>SUM(I32:I35)</f>
        <v>0</v>
      </c>
      <c r="Z58" s="504">
        <v>43062</v>
      </c>
      <c r="AA58" s="499"/>
      <c r="AB58" s="511"/>
      <c r="AC58" s="511"/>
      <c r="AD58" s="511"/>
      <c r="AE58" s="511"/>
      <c r="AF58" s="511"/>
    </row>
    <row r="59" spans="2:32" s="8" customFormat="1" ht="16" customHeight="1" x14ac:dyDescent="0.3">
      <c r="B59" s="114"/>
      <c r="C59" s="595"/>
      <c r="D59" s="595"/>
      <c r="E59" s="574" t="s">
        <v>63</v>
      </c>
      <c r="F59" s="574"/>
      <c r="G59" s="498">
        <f>Y28-G60</f>
        <v>7</v>
      </c>
      <c r="H59" s="574" t="s">
        <v>65</v>
      </c>
      <c r="I59" s="574"/>
      <c r="J59" s="498">
        <f>AA21-J60</f>
        <v>13</v>
      </c>
      <c r="K59" s="119"/>
      <c r="L59" s="58"/>
      <c r="M59" s="138"/>
      <c r="N59" s="595"/>
      <c r="O59" s="595"/>
      <c r="P59" s="574" t="s">
        <v>63</v>
      </c>
      <c r="Q59" s="574"/>
      <c r="R59" s="498">
        <f>Y28-R60</f>
        <v>7</v>
      </c>
      <c r="S59" s="574" t="s">
        <v>65</v>
      </c>
      <c r="T59" s="574"/>
      <c r="U59" s="498">
        <f>AA21-U60</f>
        <v>13</v>
      </c>
      <c r="V59" s="121"/>
      <c r="W59" s="35"/>
      <c r="X59" s="7"/>
      <c r="Y59" s="499"/>
      <c r="Z59" s="504"/>
      <c r="AA59" s="499"/>
      <c r="AB59" s="511"/>
      <c r="AC59" s="511"/>
      <c r="AD59" s="511"/>
      <c r="AE59" s="511"/>
      <c r="AF59" s="511"/>
    </row>
    <row r="60" spans="2:32" s="8" customFormat="1" ht="16" customHeight="1" x14ac:dyDescent="0.3">
      <c r="B60" s="114"/>
      <c r="C60" s="595"/>
      <c r="D60" s="595"/>
      <c r="E60" s="574" t="s">
        <v>64</v>
      </c>
      <c r="F60" s="574"/>
      <c r="G60" s="494">
        <f>Y16</f>
        <v>0</v>
      </c>
      <c r="H60" s="574" t="s">
        <v>66</v>
      </c>
      <c r="I60" s="574"/>
      <c r="J60" s="494">
        <f>AA30</f>
        <v>0</v>
      </c>
      <c r="K60" s="119"/>
      <c r="L60" s="58"/>
      <c r="M60" s="138"/>
      <c r="N60" s="595"/>
      <c r="O60" s="595"/>
      <c r="P60" s="574" t="s">
        <v>64</v>
      </c>
      <c r="Q60" s="574"/>
      <c r="R60" s="494">
        <f>AA43</f>
        <v>0</v>
      </c>
      <c r="S60" s="574" t="s">
        <v>66</v>
      </c>
      <c r="T60" s="574"/>
      <c r="U60" s="494">
        <f>AA54</f>
        <v>0</v>
      </c>
      <c r="V60" s="121"/>
      <c r="W60" s="35"/>
      <c r="X60" s="7"/>
      <c r="Y60" s="499" t="s">
        <v>173</v>
      </c>
      <c r="Z60" s="504"/>
      <c r="AA60" s="499"/>
      <c r="AB60" s="511"/>
      <c r="AC60" s="511"/>
      <c r="AD60" s="511"/>
      <c r="AE60" s="511"/>
      <c r="AF60" s="511"/>
    </row>
    <row r="61" spans="2:32" ht="16" customHeight="1" x14ac:dyDescent="0.3">
      <c r="B61" s="110"/>
      <c r="C61" s="324"/>
      <c r="D61" s="324"/>
      <c r="E61" s="569" t="s">
        <v>139</v>
      </c>
      <c r="F61" s="570"/>
      <c r="G61" s="570"/>
      <c r="H61" s="570"/>
      <c r="I61" s="571"/>
      <c r="J61" s="496">
        <f>G58+J58</f>
        <v>0</v>
      </c>
      <c r="K61" s="163"/>
      <c r="L61" s="37"/>
      <c r="M61" s="110"/>
      <c r="N61" s="323"/>
      <c r="O61" s="323"/>
      <c r="P61" s="569" t="s">
        <v>141</v>
      </c>
      <c r="Q61" s="570"/>
      <c r="R61" s="570"/>
      <c r="S61" s="570"/>
      <c r="T61" s="571"/>
      <c r="U61" s="496">
        <f>R58+U58</f>
        <v>0</v>
      </c>
      <c r="V61" s="164"/>
      <c r="Y61" s="499" t="s">
        <v>169</v>
      </c>
      <c r="Z61" s="504">
        <v>43142</v>
      </c>
      <c r="AA61" s="499" t="s">
        <v>170</v>
      </c>
      <c r="AB61" s="499"/>
      <c r="AC61" s="499"/>
      <c r="AD61" s="499"/>
      <c r="AE61" s="499"/>
      <c r="AF61" s="499"/>
    </row>
    <row r="62" spans="2:32" ht="16" customHeight="1" x14ac:dyDescent="0.3">
      <c r="B62" s="110"/>
      <c r="C62" s="324"/>
      <c r="D62" s="324"/>
      <c r="E62" s="569" t="s">
        <v>145</v>
      </c>
      <c r="F62" s="570"/>
      <c r="G62" s="570"/>
      <c r="H62" s="570"/>
      <c r="I62" s="571"/>
      <c r="J62" s="497">
        <f>G59+J59</f>
        <v>20</v>
      </c>
      <c r="K62" s="163"/>
      <c r="L62" s="37"/>
      <c r="M62" s="110"/>
      <c r="N62" s="323"/>
      <c r="O62" s="323"/>
      <c r="P62" s="569" t="s">
        <v>144</v>
      </c>
      <c r="Q62" s="570"/>
      <c r="R62" s="570"/>
      <c r="S62" s="570"/>
      <c r="T62" s="571"/>
      <c r="U62" s="497">
        <f>R59+U59</f>
        <v>20</v>
      </c>
      <c r="V62" s="164"/>
      <c r="Y62" s="499" t="s">
        <v>159</v>
      </c>
      <c r="Z62" s="504">
        <v>43142</v>
      </c>
      <c r="AA62" s="517" t="s">
        <v>165</v>
      </c>
      <c r="AB62" s="499"/>
      <c r="AC62" s="499"/>
      <c r="AD62" s="499"/>
      <c r="AE62" s="499"/>
      <c r="AF62" s="499"/>
    </row>
    <row r="63" spans="2:32" ht="16" customHeight="1" x14ac:dyDescent="0.3">
      <c r="B63" s="110"/>
      <c r="C63" s="324"/>
      <c r="D63" s="324"/>
      <c r="E63" s="569" t="s">
        <v>14</v>
      </c>
      <c r="F63" s="570"/>
      <c r="G63" s="570"/>
      <c r="H63" s="570"/>
      <c r="I63" s="571"/>
      <c r="J63" s="497">
        <f>ROUNDUP(J61/J62,0)</f>
        <v>0</v>
      </c>
      <c r="K63" s="163" t="s">
        <v>81</v>
      </c>
      <c r="L63" s="37"/>
      <c r="M63" s="110"/>
      <c r="N63" s="323"/>
      <c r="O63" s="323"/>
      <c r="P63" s="569" t="s">
        <v>69</v>
      </c>
      <c r="Q63" s="570"/>
      <c r="R63" s="570"/>
      <c r="S63" s="570"/>
      <c r="T63" s="571"/>
      <c r="U63" s="497">
        <f>ROUNDUP(U61/U62,0)</f>
        <v>0</v>
      </c>
      <c r="V63" s="164" t="s">
        <v>82</v>
      </c>
      <c r="Y63" s="499">
        <f>IF(T3="綾川町・まんのう町",0,SUM(G30:G33))</f>
        <v>0</v>
      </c>
      <c r="Z63" s="504">
        <v>43142</v>
      </c>
      <c r="AA63" s="499">
        <f>IF(T3="直島町",0,J10)</f>
        <v>0</v>
      </c>
      <c r="AB63" s="499"/>
      <c r="AC63" s="499"/>
      <c r="AD63" s="499"/>
      <c r="AE63" s="499"/>
      <c r="AF63" s="499"/>
    </row>
    <row r="64" spans="2:32" ht="16" customHeight="1" thickBot="1" x14ac:dyDescent="0.35">
      <c r="B64" s="126"/>
      <c r="C64" s="127"/>
      <c r="D64" s="127"/>
      <c r="E64" s="127"/>
      <c r="F64" s="127"/>
      <c r="G64" s="128"/>
      <c r="H64" s="127"/>
      <c r="I64" s="127"/>
      <c r="J64" s="128" t="s">
        <v>8</v>
      </c>
      <c r="K64" s="129"/>
      <c r="L64" s="141"/>
      <c r="M64" s="126"/>
      <c r="N64" s="127"/>
      <c r="O64" s="127"/>
      <c r="P64" s="127"/>
      <c r="Q64" s="127"/>
      <c r="R64" s="128"/>
      <c r="S64" s="127"/>
      <c r="T64" s="127"/>
      <c r="U64" s="128" t="s">
        <v>8</v>
      </c>
      <c r="V64" s="139"/>
      <c r="Y64" s="499" t="s">
        <v>163</v>
      </c>
      <c r="Z64" s="504">
        <v>43219</v>
      </c>
      <c r="AA64" s="499" t="s">
        <v>172</v>
      </c>
      <c r="AB64" s="499"/>
      <c r="AC64" s="499"/>
      <c r="AD64" s="499"/>
      <c r="AE64" s="499"/>
      <c r="AF64" s="499"/>
    </row>
    <row r="65" spans="25:32" ht="8.5" customHeight="1" x14ac:dyDescent="0.3">
      <c r="Y65" s="516">
        <f>SUM(G34:G40)</f>
        <v>0</v>
      </c>
      <c r="Z65" s="504">
        <v>43220</v>
      </c>
      <c r="AA65" s="516">
        <f>SUM(J11:J22)</f>
        <v>0</v>
      </c>
      <c r="AB65" s="499"/>
      <c r="AC65" s="499"/>
      <c r="AD65" s="499"/>
      <c r="AE65" s="499"/>
      <c r="AF65" s="499"/>
    </row>
    <row r="66" spans="25:32" x14ac:dyDescent="0.3">
      <c r="Y66" s="517" t="s">
        <v>171</v>
      </c>
      <c r="Z66" s="504">
        <v>43223</v>
      </c>
      <c r="AA66" s="517" t="s">
        <v>171</v>
      </c>
      <c r="AB66" s="499"/>
      <c r="AC66" s="499"/>
      <c r="AD66" s="499"/>
      <c r="AE66" s="499"/>
      <c r="AF66" s="499"/>
    </row>
    <row r="67" spans="25:32" x14ac:dyDescent="0.3">
      <c r="Y67" s="518">
        <f>Y63+Y65</f>
        <v>0</v>
      </c>
      <c r="Z67" s="504">
        <v>43224</v>
      </c>
      <c r="AA67" s="518">
        <f>AA63+AA65</f>
        <v>0</v>
      </c>
      <c r="AB67" s="499"/>
      <c r="AC67" s="499"/>
      <c r="AD67" s="499"/>
      <c r="AE67" s="499"/>
      <c r="AF67" s="499"/>
    </row>
    <row r="68" spans="25:32" x14ac:dyDescent="0.3">
      <c r="Y68" s="517" t="s">
        <v>165</v>
      </c>
      <c r="Z68" s="504">
        <v>43225</v>
      </c>
      <c r="AA68" s="517"/>
      <c r="AB68" s="499"/>
      <c r="AC68" s="499"/>
      <c r="AD68" s="499"/>
      <c r="AE68" s="499"/>
      <c r="AF68" s="499"/>
    </row>
    <row r="69" spans="25:32" x14ac:dyDescent="0.3">
      <c r="Y69" s="499">
        <f>IF(T3="直島町",0,1)</f>
        <v>1</v>
      </c>
      <c r="Z69" s="504">
        <v>43297</v>
      </c>
      <c r="AA69" s="499"/>
      <c r="AB69" s="499"/>
      <c r="AC69" s="499"/>
      <c r="AD69" s="499"/>
      <c r="AE69" s="499"/>
      <c r="AF69" s="499"/>
    </row>
    <row r="70" spans="25:32" x14ac:dyDescent="0.3">
      <c r="Y70" s="499">
        <f>Y67*Y69</f>
        <v>0</v>
      </c>
      <c r="Z70" s="504">
        <v>43323</v>
      </c>
      <c r="AA70" s="499"/>
      <c r="AB70" s="499"/>
      <c r="AC70" s="499"/>
      <c r="AD70" s="499"/>
      <c r="AE70" s="499"/>
      <c r="AF70" s="499"/>
    </row>
    <row r="71" spans="25:32" x14ac:dyDescent="0.3">
      <c r="Y71" s="499" t="s">
        <v>174</v>
      </c>
      <c r="Z71" s="504">
        <v>43360</v>
      </c>
      <c r="AA71" s="499"/>
      <c r="AB71" s="499"/>
      <c r="AC71" s="499"/>
      <c r="AD71" s="499"/>
      <c r="AE71" s="499"/>
      <c r="AF71" s="499"/>
    </row>
    <row r="72" spans="25:32" x14ac:dyDescent="0.3">
      <c r="Y72" s="499" t="s">
        <v>169</v>
      </c>
      <c r="Z72" s="504">
        <v>43366</v>
      </c>
      <c r="AA72" s="499" t="s">
        <v>170</v>
      </c>
      <c r="AB72" s="499"/>
      <c r="AC72" s="499"/>
      <c r="AD72" s="499"/>
      <c r="AE72" s="499"/>
      <c r="AF72" s="499"/>
    </row>
    <row r="73" spans="25:32" x14ac:dyDescent="0.3">
      <c r="Y73" s="499" t="s">
        <v>159</v>
      </c>
      <c r="Z73" s="504">
        <v>43367</v>
      </c>
      <c r="AA73" s="517" t="s">
        <v>165</v>
      </c>
      <c r="AB73" s="499"/>
      <c r="AC73" s="499"/>
      <c r="AD73" s="499"/>
      <c r="AE73" s="499"/>
      <c r="AF73" s="499"/>
    </row>
    <row r="74" spans="25:32" x14ac:dyDescent="0.3">
      <c r="Y74" s="499">
        <f>IF(T3="綾川町・まんのう町",0,SUM(R30:R33))</f>
        <v>0</v>
      </c>
      <c r="Z74" s="504">
        <v>43381</v>
      </c>
      <c r="AA74" s="499">
        <f>IF(T3="直島町",0,U10)</f>
        <v>0</v>
      </c>
      <c r="AB74" s="499"/>
      <c r="AC74" s="499"/>
      <c r="AD74" s="499"/>
      <c r="AE74" s="499"/>
      <c r="AF74" s="499"/>
    </row>
    <row r="75" spans="25:32" x14ac:dyDescent="0.3">
      <c r="Y75" s="499" t="s">
        <v>163</v>
      </c>
      <c r="Z75" s="504">
        <v>43407</v>
      </c>
      <c r="AA75" s="499" t="s">
        <v>172</v>
      </c>
      <c r="AB75" s="499"/>
      <c r="AC75" s="499"/>
      <c r="AD75" s="499"/>
      <c r="AE75" s="499"/>
      <c r="AF75" s="499"/>
    </row>
    <row r="76" spans="25:32" x14ac:dyDescent="0.3">
      <c r="Y76" s="516">
        <f>SUM(R34:R40)</f>
        <v>0</v>
      </c>
      <c r="Z76" s="504">
        <v>43427</v>
      </c>
      <c r="AA76" s="516">
        <f>SUM(U11:U22)</f>
        <v>0</v>
      </c>
      <c r="AB76" s="499"/>
      <c r="AC76" s="499"/>
      <c r="AD76" s="499"/>
      <c r="AE76" s="499"/>
      <c r="AF76" s="499"/>
    </row>
    <row r="77" spans="25:32" x14ac:dyDescent="0.3">
      <c r="Y77" s="517" t="s">
        <v>171</v>
      </c>
      <c r="Z77" s="504">
        <v>43457</v>
      </c>
      <c r="AA77" s="517" t="s">
        <v>171</v>
      </c>
      <c r="AB77" s="499"/>
      <c r="AC77" s="499"/>
      <c r="AD77" s="499"/>
      <c r="AE77" s="499"/>
      <c r="AF77" s="499"/>
    </row>
    <row r="78" spans="25:32" x14ac:dyDescent="0.3">
      <c r="Y78" s="518">
        <f>Y74+Y76</f>
        <v>0</v>
      </c>
      <c r="Z78" s="504">
        <v>43458</v>
      </c>
      <c r="AA78" s="518">
        <f>AA74+AA76</f>
        <v>0</v>
      </c>
      <c r="AB78" s="499"/>
      <c r="AC78" s="499"/>
      <c r="AD78" s="499"/>
      <c r="AE78" s="499"/>
      <c r="AF78" s="499"/>
    </row>
    <row r="79" spans="25:32" x14ac:dyDescent="0.3">
      <c r="Y79" s="517" t="s">
        <v>165</v>
      </c>
      <c r="Z79" s="523">
        <v>43466</v>
      </c>
      <c r="AA79" s="499"/>
      <c r="AB79" s="499"/>
      <c r="AC79" s="499"/>
      <c r="AD79" s="499"/>
      <c r="AE79" s="499"/>
      <c r="AF79" s="499"/>
    </row>
    <row r="80" spans="25:32" x14ac:dyDescent="0.3">
      <c r="Y80" s="499">
        <f>IF(T3="直島町",0,1)</f>
        <v>1</v>
      </c>
      <c r="Z80" s="523">
        <v>43479</v>
      </c>
      <c r="AA80" s="499"/>
      <c r="AB80" s="499"/>
      <c r="AC80" s="499"/>
      <c r="AD80" s="499"/>
      <c r="AE80" s="499"/>
      <c r="AF80" s="499"/>
    </row>
    <row r="81" spans="25:32" x14ac:dyDescent="0.3">
      <c r="Y81" s="499">
        <f>Y78*Y80</f>
        <v>0</v>
      </c>
      <c r="Z81" s="523">
        <v>43507</v>
      </c>
      <c r="AA81" s="499"/>
      <c r="AB81" s="499"/>
      <c r="AC81" s="499"/>
      <c r="AD81" s="499"/>
      <c r="AE81" s="499"/>
      <c r="AF81" s="499"/>
    </row>
    <row r="82" spans="25:32" x14ac:dyDescent="0.3">
      <c r="Y82" s="499"/>
      <c r="Z82" s="523">
        <v>43545</v>
      </c>
      <c r="AA82" s="499"/>
      <c r="AB82" s="499"/>
      <c r="AC82" s="499"/>
      <c r="AD82" s="499"/>
      <c r="AE82" s="499"/>
      <c r="AF82" s="499"/>
    </row>
    <row r="83" spans="25:32" x14ac:dyDescent="0.3">
      <c r="Z83" s="18">
        <v>43584</v>
      </c>
    </row>
    <row r="84" spans="25:32" x14ac:dyDescent="0.3">
      <c r="Z84" s="18">
        <v>43588</v>
      </c>
    </row>
    <row r="85" spans="25:32" x14ac:dyDescent="0.3">
      <c r="Z85" s="18">
        <v>43589</v>
      </c>
    </row>
    <row r="86" spans="25:32" x14ac:dyDescent="0.3">
      <c r="Z86" s="18">
        <v>43590</v>
      </c>
    </row>
    <row r="87" spans="25:32" x14ac:dyDescent="0.3">
      <c r="Z87" s="18">
        <v>43591</v>
      </c>
    </row>
    <row r="88" spans="25:32" x14ac:dyDescent="0.3">
      <c r="Z88" s="18">
        <v>43661</v>
      </c>
    </row>
    <row r="89" spans="25:32" x14ac:dyDescent="0.3">
      <c r="Z89" s="18">
        <v>43688</v>
      </c>
    </row>
    <row r="90" spans="25:32" x14ac:dyDescent="0.3">
      <c r="Z90" s="18">
        <v>43689</v>
      </c>
    </row>
    <row r="91" spans="25:32" x14ac:dyDescent="0.3">
      <c r="Z91" s="18">
        <v>43724</v>
      </c>
    </row>
    <row r="92" spans="25:32" x14ac:dyDescent="0.3">
      <c r="Z92" s="18">
        <v>43731</v>
      </c>
    </row>
    <row r="93" spans="25:32" x14ac:dyDescent="0.3">
      <c r="Z93" s="18">
        <v>43752</v>
      </c>
    </row>
    <row r="94" spans="25:32" x14ac:dyDescent="0.3">
      <c r="Z94" s="18">
        <v>43772</v>
      </c>
    </row>
    <row r="95" spans="25:32" x14ac:dyDescent="0.3">
      <c r="Z95" s="18">
        <v>43773</v>
      </c>
    </row>
    <row r="96" spans="25:32" x14ac:dyDescent="0.3">
      <c r="Z96" s="18">
        <v>43792</v>
      </c>
    </row>
    <row r="97" spans="26:26" x14ac:dyDescent="0.3">
      <c r="Z97" s="18">
        <v>43822</v>
      </c>
    </row>
    <row r="98" spans="26:26" x14ac:dyDescent="0.3">
      <c r="Z98" s="18">
        <v>43831</v>
      </c>
    </row>
    <row r="99" spans="26:26" x14ac:dyDescent="0.3">
      <c r="Z99" s="18">
        <v>43843</v>
      </c>
    </row>
    <row r="100" spans="26:26" x14ac:dyDescent="0.3">
      <c r="Z100" s="18">
        <v>43872</v>
      </c>
    </row>
    <row r="101" spans="26:26" x14ac:dyDescent="0.3">
      <c r="Z101" s="18">
        <v>43885</v>
      </c>
    </row>
    <row r="102" spans="26:26" x14ac:dyDescent="0.3">
      <c r="Z102" s="18">
        <v>43910</v>
      </c>
    </row>
    <row r="103" spans="26:26" x14ac:dyDescent="0.3">
      <c r="Z103" s="18">
        <v>43950</v>
      </c>
    </row>
    <row r="104" spans="26:26" x14ac:dyDescent="0.3">
      <c r="Z104" s="18">
        <v>43954</v>
      </c>
    </row>
    <row r="105" spans="26:26" x14ac:dyDescent="0.3">
      <c r="Z105" s="18">
        <v>43955</v>
      </c>
    </row>
    <row r="106" spans="26:26" x14ac:dyDescent="0.3">
      <c r="Z106" s="18">
        <v>43956</v>
      </c>
    </row>
    <row r="107" spans="26:26" x14ac:dyDescent="0.3">
      <c r="Z107" s="18">
        <v>43957</v>
      </c>
    </row>
    <row r="108" spans="26:26" x14ac:dyDescent="0.3">
      <c r="Z108" s="18">
        <v>44035</v>
      </c>
    </row>
    <row r="109" spans="26:26" x14ac:dyDescent="0.3">
      <c r="Z109" s="18">
        <v>44036</v>
      </c>
    </row>
    <row r="110" spans="26:26" x14ac:dyDescent="0.3">
      <c r="Z110" s="18">
        <v>44053</v>
      </c>
    </row>
    <row r="111" spans="26:26" x14ac:dyDescent="0.3">
      <c r="Z111" s="18">
        <v>44095</v>
      </c>
    </row>
    <row r="112" spans="26:26" x14ac:dyDescent="0.3">
      <c r="Z112" s="18">
        <v>44096</v>
      </c>
    </row>
    <row r="113" spans="26:26" x14ac:dyDescent="0.3">
      <c r="Z113" s="18">
        <v>44138</v>
      </c>
    </row>
    <row r="114" spans="26:26" x14ac:dyDescent="0.3">
      <c r="Z114" s="18">
        <v>44158</v>
      </c>
    </row>
    <row r="115" spans="26:26" x14ac:dyDescent="0.3">
      <c r="Z115" s="18">
        <v>44197</v>
      </c>
    </row>
    <row r="116" spans="26:26" x14ac:dyDescent="0.3">
      <c r="Z116" s="18">
        <v>44207</v>
      </c>
    </row>
    <row r="117" spans="26:26" x14ac:dyDescent="0.3">
      <c r="Z117" s="18">
        <v>44238</v>
      </c>
    </row>
    <row r="118" spans="26:26" x14ac:dyDescent="0.3">
      <c r="Z118" s="18">
        <v>44250</v>
      </c>
    </row>
    <row r="119" spans="26:26" x14ac:dyDescent="0.3">
      <c r="Z119" s="18">
        <v>44275</v>
      </c>
    </row>
    <row r="120" spans="26:26" x14ac:dyDescent="0.3">
      <c r="Z120" s="18">
        <v>44315</v>
      </c>
    </row>
    <row r="121" spans="26:26" x14ac:dyDescent="0.3">
      <c r="Z121" s="18">
        <v>44319</v>
      </c>
    </row>
    <row r="122" spans="26:26" x14ac:dyDescent="0.3">
      <c r="Z122" s="18">
        <v>44320</v>
      </c>
    </row>
    <row r="123" spans="26:26" x14ac:dyDescent="0.3">
      <c r="Z123" s="18">
        <v>44321</v>
      </c>
    </row>
    <row r="124" spans="26:26" x14ac:dyDescent="0.3">
      <c r="Z124" s="18">
        <v>44396</v>
      </c>
    </row>
    <row r="125" spans="26:26" x14ac:dyDescent="0.3">
      <c r="Z125" s="18">
        <v>44419</v>
      </c>
    </row>
    <row r="126" spans="26:26" x14ac:dyDescent="0.3">
      <c r="Z126" s="18">
        <v>44459</v>
      </c>
    </row>
    <row r="127" spans="26:26" x14ac:dyDescent="0.3">
      <c r="Z127" s="18">
        <v>44462</v>
      </c>
    </row>
    <row r="128" spans="26:26" x14ac:dyDescent="0.3">
      <c r="Z128" s="18">
        <v>44480</v>
      </c>
    </row>
    <row r="129" spans="26:26" x14ac:dyDescent="0.3">
      <c r="Z129" s="18">
        <v>44503</v>
      </c>
    </row>
    <row r="130" spans="26:26" x14ac:dyDescent="0.3">
      <c r="Z130" s="18">
        <v>44523</v>
      </c>
    </row>
    <row r="131" spans="26:26" x14ac:dyDescent="0.3">
      <c r="Z131" s="18">
        <v>44562</v>
      </c>
    </row>
    <row r="132" spans="26:26" x14ac:dyDescent="0.3">
      <c r="Z132" s="18">
        <v>44571</v>
      </c>
    </row>
    <row r="133" spans="26:26" x14ac:dyDescent="0.3">
      <c r="Z133" s="18">
        <v>44603</v>
      </c>
    </row>
    <row r="134" spans="26:26" x14ac:dyDescent="0.3">
      <c r="Z134" s="18">
        <v>44615</v>
      </c>
    </row>
    <row r="135" spans="26:26" x14ac:dyDescent="0.3">
      <c r="Z135" s="18">
        <v>44641</v>
      </c>
    </row>
    <row r="136" spans="26:26" x14ac:dyDescent="0.3">
      <c r="Z136" s="18">
        <v>44680</v>
      </c>
    </row>
    <row r="137" spans="26:26" x14ac:dyDescent="0.3">
      <c r="Z137" s="18">
        <v>44684</v>
      </c>
    </row>
    <row r="138" spans="26:26" x14ac:dyDescent="0.3">
      <c r="Z138" s="18">
        <v>44685</v>
      </c>
    </row>
    <row r="139" spans="26:26" x14ac:dyDescent="0.3">
      <c r="Z139" s="18">
        <v>44686</v>
      </c>
    </row>
    <row r="140" spans="26:26" x14ac:dyDescent="0.3">
      <c r="Z140" s="18">
        <v>44760</v>
      </c>
    </row>
    <row r="141" spans="26:26" x14ac:dyDescent="0.3">
      <c r="Z141" s="18">
        <v>44784</v>
      </c>
    </row>
    <row r="142" spans="26:26" x14ac:dyDescent="0.3">
      <c r="Z142" s="18">
        <v>44823</v>
      </c>
    </row>
    <row r="143" spans="26:26" x14ac:dyDescent="0.3">
      <c r="Z143" s="18">
        <v>44827</v>
      </c>
    </row>
    <row r="144" spans="26:26" x14ac:dyDescent="0.3">
      <c r="Z144" s="18">
        <v>44844</v>
      </c>
    </row>
    <row r="145" spans="26:26" x14ac:dyDescent="0.3">
      <c r="Z145" s="18">
        <v>44868</v>
      </c>
    </row>
    <row r="146" spans="26:26" x14ac:dyDescent="0.3">
      <c r="Z146" s="18">
        <v>44888</v>
      </c>
    </row>
    <row r="147" spans="26:26" x14ac:dyDescent="0.3">
      <c r="Z147" s="18"/>
    </row>
  </sheetData>
  <sheetProtection algorithmName="SHA-512" hashValue="wOhjBqRbnd57x9gTtCTTB3bSdkyGZAP75wu6wkQRwGxJluINtXHaD+LyoKM2R2SuhIxBZH2/9A17grKYyZIaWQ==" saltValue="Af842HwrImxggCh1DrqQfw==" spinCount="100000" sheet="1" objects="1" scenarios="1"/>
  <mergeCells count="59">
    <mergeCell ref="S60:T60"/>
    <mergeCell ref="E53:I53"/>
    <mergeCell ref="P53:T53"/>
    <mergeCell ref="E63:I63"/>
    <mergeCell ref="P63:T63"/>
    <mergeCell ref="E62:I62"/>
    <mergeCell ref="P62:T62"/>
    <mergeCell ref="E61:I61"/>
    <mergeCell ref="P61:T61"/>
    <mergeCell ref="C56:J56"/>
    <mergeCell ref="N56:U56"/>
    <mergeCell ref="C59:D59"/>
    <mergeCell ref="E59:F59"/>
    <mergeCell ref="N59:O59"/>
    <mergeCell ref="H59:I59"/>
    <mergeCell ref="C60:D60"/>
    <mergeCell ref="S48:T48"/>
    <mergeCell ref="S49:T49"/>
    <mergeCell ref="S50:T50"/>
    <mergeCell ref="S58:T58"/>
    <mergeCell ref="S59:T59"/>
    <mergeCell ref="P52:T52"/>
    <mergeCell ref="P51:T51"/>
    <mergeCell ref="P58:Q58"/>
    <mergeCell ref="P59:Q59"/>
    <mergeCell ref="A1:W1"/>
    <mergeCell ref="C8:D8"/>
    <mergeCell ref="E8:G8"/>
    <mergeCell ref="N8:O8"/>
    <mergeCell ref="P8:R8"/>
    <mergeCell ref="C5:G5"/>
    <mergeCell ref="H8:J8"/>
    <mergeCell ref="S8:U8"/>
    <mergeCell ref="T3:V3"/>
    <mergeCell ref="C48:D48"/>
    <mergeCell ref="E48:F48"/>
    <mergeCell ref="N48:O48"/>
    <mergeCell ref="P48:Q48"/>
    <mergeCell ref="C49:D49"/>
    <mergeCell ref="E49:F49"/>
    <mergeCell ref="N49:O49"/>
    <mergeCell ref="P49:Q49"/>
    <mergeCell ref="H48:I48"/>
    <mergeCell ref="H49:I49"/>
    <mergeCell ref="C50:D50"/>
    <mergeCell ref="E50:F50"/>
    <mergeCell ref="N50:O50"/>
    <mergeCell ref="P50:Q50"/>
    <mergeCell ref="H50:I50"/>
    <mergeCell ref="E51:I51"/>
    <mergeCell ref="C58:D58"/>
    <mergeCell ref="E58:F58"/>
    <mergeCell ref="N58:O58"/>
    <mergeCell ref="H58:I58"/>
    <mergeCell ref="E60:F60"/>
    <mergeCell ref="N60:O60"/>
    <mergeCell ref="P60:Q60"/>
    <mergeCell ref="H60:I60"/>
    <mergeCell ref="E52:I52"/>
  </mergeCells>
  <phoneticPr fontId="1"/>
  <conditionalFormatting sqref="C10:C38 C40:C41">
    <cfRule type="expression" dxfId="223" priority="66">
      <formula>TEXT(C10,"aaa")="土"</formula>
    </cfRule>
  </conditionalFormatting>
  <conditionalFormatting sqref="C10:C38 C40:C41">
    <cfRule type="expression" dxfId="222" priority="65">
      <formula>TEXT(C10,"aaa")="日"</formula>
    </cfRule>
  </conditionalFormatting>
  <conditionalFormatting sqref="E40 E10:E38">
    <cfRule type="expression" dxfId="221" priority="64">
      <formula>TEXT(E10,"aaa")="土"</formula>
    </cfRule>
  </conditionalFormatting>
  <conditionalFormatting sqref="E40 E10:E38">
    <cfRule type="expression" dxfId="220" priority="63">
      <formula>TEXT(E10,"aaa")="日"</formula>
    </cfRule>
  </conditionalFormatting>
  <conditionalFormatting sqref="N10:N31">
    <cfRule type="expression" dxfId="219" priority="62">
      <formula>TEXT(N10,"aaa")="土"</formula>
    </cfRule>
  </conditionalFormatting>
  <conditionalFormatting sqref="N10:N31">
    <cfRule type="expression" dxfId="218" priority="61">
      <formula>TEXT(N10,"aaa")="日"</formula>
    </cfRule>
  </conditionalFormatting>
  <conditionalFormatting sqref="P10:P35">
    <cfRule type="expression" dxfId="217" priority="60">
      <formula>TEXT(P10,"aaa")="土"</formula>
    </cfRule>
  </conditionalFormatting>
  <conditionalFormatting sqref="P10:P35">
    <cfRule type="expression" dxfId="216" priority="59">
      <formula>TEXT(P10,"aaa")="日"</formula>
    </cfRule>
  </conditionalFormatting>
  <conditionalFormatting sqref="N10:N18">
    <cfRule type="expression" dxfId="215" priority="58">
      <formula>TEXT(N10,"aaa")="土"</formula>
    </cfRule>
  </conditionalFormatting>
  <conditionalFormatting sqref="N10:N18">
    <cfRule type="expression" dxfId="214" priority="57">
      <formula>TEXT(N10,"aaa")="日"</formula>
    </cfRule>
  </conditionalFormatting>
  <conditionalFormatting sqref="N19:N27">
    <cfRule type="expression" dxfId="213" priority="56">
      <formula>TEXT(N19,"aaa")="土"</formula>
    </cfRule>
  </conditionalFormatting>
  <conditionalFormatting sqref="N19:N27">
    <cfRule type="expression" dxfId="212" priority="55">
      <formula>TEXT(N19,"aaa")="日"</formula>
    </cfRule>
  </conditionalFormatting>
  <conditionalFormatting sqref="N28:N31">
    <cfRule type="expression" dxfId="211" priority="54">
      <formula>TEXT(N28,"aaa")="土"</formula>
    </cfRule>
  </conditionalFormatting>
  <conditionalFormatting sqref="N28:N31">
    <cfRule type="expression" dxfId="210" priority="53">
      <formula>TEXT(N28,"aaa")="日"</formula>
    </cfRule>
  </conditionalFormatting>
  <conditionalFormatting sqref="N32:N38 N40">
    <cfRule type="expression" dxfId="209" priority="51">
      <formula>TEXT(N32,"aaa")="土"</formula>
    </cfRule>
  </conditionalFormatting>
  <conditionalFormatting sqref="N32:N38 N40">
    <cfRule type="expression" dxfId="208" priority="50">
      <formula>TEXT(N32,"aaa")="日"</formula>
    </cfRule>
  </conditionalFormatting>
  <conditionalFormatting sqref="H10:H40 E10:E40 P10:P40 S10:S40">
    <cfRule type="expression" dxfId="207" priority="1002">
      <formula>COUNTIF($AM$9:$AM$130,$P10)</formula>
    </cfRule>
  </conditionalFormatting>
  <conditionalFormatting sqref="C10:C41 D41:J41 N41:U41 N10:N40">
    <cfRule type="expression" dxfId="206" priority="1004">
      <formula>COUNTIF($AM$9:$AM$130,$N10)</formula>
    </cfRule>
  </conditionalFormatting>
  <conditionalFormatting sqref="D41:G41">
    <cfRule type="expression" dxfId="205" priority="48">
      <formula>TEXT(D41,"aaa")="土"</formula>
    </cfRule>
  </conditionalFormatting>
  <conditionalFormatting sqref="D41:G41">
    <cfRule type="expression" dxfId="204" priority="47">
      <formula>TEXT(D41,"aaa")="日"</formula>
    </cfRule>
  </conditionalFormatting>
  <conditionalFormatting sqref="N41:R41">
    <cfRule type="expression" dxfId="203" priority="45">
      <formula>TEXT(N41,"aaa")="土"</formula>
    </cfRule>
  </conditionalFormatting>
  <conditionalFormatting sqref="N41:R41">
    <cfRule type="expression" dxfId="202" priority="44">
      <formula>TEXT(N41,"aaa")="日"</formula>
    </cfRule>
  </conditionalFormatting>
  <conditionalFormatting sqref="H40 H10:H38">
    <cfRule type="expression" dxfId="201" priority="42">
      <formula>TEXT(H10,"aaa")="土"</formula>
    </cfRule>
  </conditionalFormatting>
  <conditionalFormatting sqref="H40 H10:H38">
    <cfRule type="expression" dxfId="200" priority="41">
      <formula>TEXT(H10,"aaa")="日"</formula>
    </cfRule>
  </conditionalFormatting>
  <conditionalFormatting sqref="H41:J41">
    <cfRule type="expression" dxfId="199" priority="39">
      <formula>TEXT(H41,"aaa")="土"</formula>
    </cfRule>
  </conditionalFormatting>
  <conditionalFormatting sqref="H41:J41">
    <cfRule type="expression" dxfId="198" priority="38">
      <formula>TEXT(H41,"aaa")="日"</formula>
    </cfRule>
  </conditionalFormatting>
  <conditionalFormatting sqref="S10:S35 S40">
    <cfRule type="expression" dxfId="197" priority="36">
      <formula>TEXT(S10,"aaa")="土"</formula>
    </cfRule>
  </conditionalFormatting>
  <conditionalFormatting sqref="S10:S35 S40">
    <cfRule type="expression" dxfId="196" priority="35">
      <formula>TEXT(S10,"aaa")="日"</formula>
    </cfRule>
  </conditionalFormatting>
  <conditionalFormatting sqref="S41:U41">
    <cfRule type="expression" dxfId="195" priority="33">
      <formula>TEXT(S41,"aaa")="土"</formula>
    </cfRule>
  </conditionalFormatting>
  <conditionalFormatting sqref="S41:U41">
    <cfRule type="expression" dxfId="194" priority="32">
      <formula>TEXT(S41,"aaa")="日"</formula>
    </cfRule>
  </conditionalFormatting>
  <conditionalFormatting sqref="C39">
    <cfRule type="expression" dxfId="193" priority="29">
      <formula>TEXT(C39,"aaa")="土"</formula>
    </cfRule>
  </conditionalFormatting>
  <conditionalFormatting sqref="C39">
    <cfRule type="expression" dxfId="192" priority="28">
      <formula>TEXT(C39,"aaa")="日"</formula>
    </cfRule>
  </conditionalFormatting>
  <conditionalFormatting sqref="N39">
    <cfRule type="expression" dxfId="191" priority="23">
      <formula>TEXT(N39,"aaa")="土"</formula>
    </cfRule>
  </conditionalFormatting>
  <conditionalFormatting sqref="N39">
    <cfRule type="expression" dxfId="190" priority="22">
      <formula>TEXT(N39,"aaa")="日"</formula>
    </cfRule>
  </conditionalFormatting>
  <conditionalFormatting sqref="H39">
    <cfRule type="expression" dxfId="189" priority="20">
      <formula>TEXT(H39,"aaa")="土"</formula>
    </cfRule>
  </conditionalFormatting>
  <conditionalFormatting sqref="H39">
    <cfRule type="expression" dxfId="188" priority="19">
      <formula>TEXT(H39,"aaa")="日"</formula>
    </cfRule>
  </conditionalFormatting>
  <conditionalFormatting sqref="S39">
    <cfRule type="expression" dxfId="187" priority="17">
      <formula>TEXT(S39,"aaa")="土"</formula>
    </cfRule>
  </conditionalFormatting>
  <conditionalFormatting sqref="S39">
    <cfRule type="expression" dxfId="186" priority="16">
      <formula>TEXT(S39,"aaa")="日"</formula>
    </cfRule>
  </conditionalFormatting>
  <conditionalFormatting sqref="E39">
    <cfRule type="expression" dxfId="185" priority="14">
      <formula>TEXT(E39,"aaa")="土"</formula>
    </cfRule>
  </conditionalFormatting>
  <conditionalFormatting sqref="E39">
    <cfRule type="expression" dxfId="184" priority="13">
      <formula>TEXT(E39,"aaa")="日"</formula>
    </cfRule>
  </conditionalFormatting>
  <conditionalFormatting sqref="P40 P36:P38">
    <cfRule type="expression" dxfId="183" priority="11">
      <formula>TEXT(P36,"aaa")="土"</formula>
    </cfRule>
  </conditionalFormatting>
  <conditionalFormatting sqref="P40 P36:P38">
    <cfRule type="expression" dxfId="182" priority="10">
      <formula>TEXT(P36,"aaa")="日"</formula>
    </cfRule>
  </conditionalFormatting>
  <conditionalFormatting sqref="P39">
    <cfRule type="expression" dxfId="181" priority="8">
      <formula>TEXT(P39,"aaa")="土"</formula>
    </cfRule>
  </conditionalFormatting>
  <conditionalFormatting sqref="P39">
    <cfRule type="expression" dxfId="180" priority="7">
      <formula>TEXT(P39,"aaa")="日"</formula>
    </cfRule>
  </conditionalFormatting>
  <conditionalFormatting sqref="S36:S37">
    <cfRule type="expression" dxfId="179" priority="5">
      <formula>TEXT(S36,"aaa")="土"</formula>
    </cfRule>
  </conditionalFormatting>
  <conditionalFormatting sqref="S36:S37">
    <cfRule type="expression" dxfId="178" priority="4">
      <formula>TEXT(S36,"aaa")="日"</formula>
    </cfRule>
  </conditionalFormatting>
  <conditionalFormatting sqref="S38">
    <cfRule type="expression" dxfId="177" priority="2">
      <formula>TEXT(S38,"aaa")="土"</formula>
    </cfRule>
  </conditionalFormatting>
  <conditionalFormatting sqref="S38">
    <cfRule type="expression" dxfId="176" priority="1">
      <formula>TEXT(S38,"aaa")="日"</formula>
    </cfRule>
  </conditionalFormatting>
  <dataValidations count="2">
    <dataValidation type="list" allowBlank="1" showInputMessage="1" showErrorMessage="1" sqref="F10:F40 I10:I40 Q10:Q40 D10:D40 O10:O40 T10:T37">
      <formula1>"○"</formula1>
    </dataValidation>
    <dataValidation type="list" allowBlank="1" showInputMessage="1" showErrorMessage="1" sqref="T3:U3">
      <formula1>"綾川町・まんのう町・直島町　以外,綾川町・まんのう町,直島町"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3" orientation="portrait" r:id="rId1"/>
  <colBreaks count="1" manualBreakCount="1">
    <brk id="2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6FFFF"/>
    <pageSetUpPr fitToPage="1"/>
  </sheetPr>
  <dimension ref="A1:AF147"/>
  <sheetViews>
    <sheetView showGridLines="0" view="pageBreakPreview" topLeftCell="A19" zoomScale="59" zoomScaleNormal="75" zoomScaleSheetLayoutView="59" workbookViewId="0">
      <selection activeCell="S48" sqref="S48:S58"/>
    </sheetView>
  </sheetViews>
  <sheetFormatPr defaultColWidth="9" defaultRowHeight="13.5" x14ac:dyDescent="0.3"/>
  <cols>
    <col min="1" max="1" width="1.58203125" style="1" customWidth="1"/>
    <col min="2" max="2" width="1.08203125" style="1" customWidth="1"/>
    <col min="3" max="3" width="3.08203125" style="1" customWidth="1"/>
    <col min="4" max="4" width="2.08203125" style="1" customWidth="1"/>
    <col min="5" max="5" width="9.58203125" style="1" customWidth="1"/>
    <col min="6" max="6" width="5.33203125" style="1" customWidth="1"/>
    <col min="7" max="7" width="12.08203125" style="1" customWidth="1"/>
    <col min="8" max="8" width="9.58203125" style="1" customWidth="1"/>
    <col min="9" max="9" width="5.33203125" style="1" customWidth="1"/>
    <col min="10" max="10" width="12.08203125" style="1" customWidth="1"/>
    <col min="11" max="11" width="4.33203125" style="1" customWidth="1"/>
    <col min="12" max="12" width="1.33203125" style="1" customWidth="1"/>
    <col min="13" max="13" width="1.08203125" style="1" customWidth="1"/>
    <col min="14" max="14" width="2.33203125" style="11" customWidth="1"/>
    <col min="15" max="15" width="3.33203125" style="11" customWidth="1"/>
    <col min="16" max="16" width="9.58203125" style="1" customWidth="1"/>
    <col min="17" max="17" width="10.58203125" style="1" customWidth="1"/>
    <col min="18" max="18" width="24.1640625" style="1" customWidth="1"/>
    <col min="19" max="19" width="8.33203125" style="1" customWidth="1"/>
    <col min="20" max="20" width="3" style="11" customWidth="1"/>
    <col min="21" max="21" width="0.83203125" style="1" customWidth="1"/>
    <col min="22" max="22" width="1.25" style="1" customWidth="1"/>
    <col min="23" max="23" width="1.33203125" style="1" customWidth="1"/>
    <col min="24" max="24" width="9.58203125" style="1" customWidth="1"/>
    <col min="25" max="25" width="10.58203125" style="1" customWidth="1"/>
    <col min="26" max="26" width="4.83203125" style="1" customWidth="1"/>
    <col min="27" max="27" width="0.75" style="1" customWidth="1"/>
    <col min="28" max="28" width="11.75" style="1" customWidth="1"/>
    <col min="29" max="29" width="0.58203125" style="16" customWidth="1"/>
    <col min="30" max="16384" width="9" style="1"/>
  </cols>
  <sheetData>
    <row r="1" spans="1:32" ht="22" x14ac:dyDescent="0.3">
      <c r="A1" s="588" t="s">
        <v>53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1"/>
      <c r="V1" s="16"/>
      <c r="X1" s="499"/>
      <c r="Y1" s="499"/>
      <c r="Z1" s="499"/>
      <c r="AA1" s="499"/>
      <c r="AB1" s="499"/>
      <c r="AC1" s="499"/>
      <c r="AD1" s="499"/>
      <c r="AE1" s="499"/>
      <c r="AF1" s="499"/>
    </row>
    <row r="2" spans="1:32" ht="27" customHeight="1" x14ac:dyDescent="0.3">
      <c r="C2" s="81" t="s">
        <v>15</v>
      </c>
      <c r="N2" s="1"/>
      <c r="O2" s="1"/>
      <c r="P2" s="82" t="s">
        <v>59</v>
      </c>
      <c r="Q2" s="11"/>
      <c r="T2" s="1"/>
      <c r="U2" s="11"/>
      <c r="W2" s="11"/>
      <c r="X2" s="499"/>
      <c r="Y2" s="499"/>
      <c r="Z2" s="499"/>
      <c r="AA2" s="499"/>
      <c r="AB2" s="499"/>
      <c r="AC2" s="499"/>
      <c r="AD2" s="499"/>
      <c r="AE2" s="500"/>
      <c r="AF2" s="499"/>
    </row>
    <row r="3" spans="1:32" ht="26.5" customHeight="1" thickBot="1" x14ac:dyDescent="0.35">
      <c r="C3" s="24" t="s">
        <v>2</v>
      </c>
      <c r="D3" s="24"/>
      <c r="P3" s="101" t="s">
        <v>1</v>
      </c>
      <c r="Q3" s="102"/>
      <c r="R3" s="102"/>
      <c r="S3" s="413"/>
      <c r="U3" s="11"/>
      <c r="V3" s="11"/>
      <c r="W3" s="11"/>
      <c r="X3" s="501" t="s">
        <v>161</v>
      </c>
      <c r="Y3" s="499"/>
      <c r="Z3" s="499" t="s">
        <v>162</v>
      </c>
      <c r="AA3" s="500"/>
      <c r="AB3" s="499"/>
      <c r="AC3" s="500"/>
      <c r="AD3" s="499"/>
      <c r="AE3" s="499"/>
      <c r="AF3" s="499"/>
    </row>
    <row r="4" spans="1:32" ht="9" customHeight="1" thickTop="1" thickBot="1" x14ac:dyDescent="0.35">
      <c r="B4" s="11"/>
      <c r="C4" s="192"/>
      <c r="D4" s="192"/>
      <c r="E4" s="11"/>
      <c r="F4" s="11"/>
      <c r="G4" s="11"/>
      <c r="H4" s="11"/>
      <c r="I4" s="11"/>
      <c r="J4" s="11"/>
      <c r="K4" s="11"/>
      <c r="P4" s="9"/>
      <c r="Q4" s="11"/>
      <c r="R4" s="11"/>
      <c r="S4" s="11"/>
      <c r="U4" s="11"/>
      <c r="V4" s="11"/>
      <c r="W4" s="11"/>
      <c r="X4" s="499">
        <f>IF(S7="直島町",0,31)</f>
        <v>31</v>
      </c>
      <c r="Y4" s="500"/>
      <c r="Z4" s="499"/>
      <c r="AA4" s="499"/>
      <c r="AB4" s="499"/>
      <c r="AC4" s="500"/>
      <c r="AD4" s="499"/>
      <c r="AE4" s="499"/>
      <c r="AF4" s="499"/>
    </row>
    <row r="5" spans="1:32" ht="24.65" customHeight="1" thickBot="1" x14ac:dyDescent="0.35">
      <c r="B5" s="193"/>
      <c r="C5" s="182" t="s">
        <v>90</v>
      </c>
      <c r="D5" s="182"/>
      <c r="E5" s="182"/>
      <c r="F5" s="182"/>
      <c r="G5" s="194"/>
      <c r="H5" s="182"/>
      <c r="I5" s="182"/>
      <c r="J5" s="194"/>
      <c r="K5" s="195"/>
      <c r="L5" s="2"/>
      <c r="M5" s="2"/>
      <c r="N5" s="10"/>
      <c r="O5" s="10"/>
      <c r="P5" s="10"/>
      <c r="Q5" s="10"/>
      <c r="R5" s="90"/>
      <c r="S5" s="11"/>
      <c r="X5" s="499"/>
      <c r="Y5" s="500"/>
      <c r="Z5" s="499"/>
      <c r="AA5" s="499"/>
      <c r="AB5" s="499"/>
      <c r="AC5" s="499"/>
      <c r="AD5" s="499"/>
      <c r="AE5" s="499"/>
      <c r="AF5" s="499"/>
    </row>
    <row r="6" spans="1:32" ht="14.15" customHeight="1" x14ac:dyDescent="0.3">
      <c r="B6" s="110"/>
      <c r="C6" s="190" t="e">
        <f>+DATE(C5,4,1)</f>
        <v>#VALUE!</v>
      </c>
      <c r="D6" s="190"/>
      <c r="E6" s="10"/>
      <c r="F6" s="10"/>
      <c r="G6" s="10"/>
      <c r="H6" s="10"/>
      <c r="I6" s="10"/>
      <c r="J6" s="10"/>
      <c r="K6" s="189"/>
      <c r="L6" s="2"/>
      <c r="M6" s="10"/>
      <c r="N6" s="10"/>
      <c r="O6" s="10"/>
      <c r="P6" s="10"/>
      <c r="Q6" s="10"/>
      <c r="R6" s="90"/>
      <c r="S6" s="11"/>
      <c r="V6" s="11"/>
      <c r="X6" s="499" t="s">
        <v>177</v>
      </c>
      <c r="Y6" s="500"/>
      <c r="Z6" s="499">
        <f>IF(S7="綾川町・まんのう町・直島町　以外",4,0)</f>
        <v>0</v>
      </c>
      <c r="AA6" s="499" t="s">
        <v>164</v>
      </c>
      <c r="AB6" s="499"/>
      <c r="AC6" s="499"/>
      <c r="AD6" s="499"/>
      <c r="AE6" s="499"/>
      <c r="AF6" s="499"/>
    </row>
    <row r="7" spans="1:32" s="6" customFormat="1" ht="20.149999999999999" customHeight="1" x14ac:dyDescent="0.3">
      <c r="B7" s="111"/>
      <c r="C7" s="597"/>
      <c r="D7" s="597"/>
      <c r="E7" s="592">
        <f>DATE(2022,1,1)</f>
        <v>44562</v>
      </c>
      <c r="F7" s="593"/>
      <c r="G7" s="611"/>
      <c r="H7" s="592">
        <f>DATE(2022,2,1)</f>
        <v>44593</v>
      </c>
      <c r="I7" s="593"/>
      <c r="J7" s="594"/>
      <c r="K7" s="169"/>
      <c r="L7" s="14"/>
      <c r="M7" s="80"/>
      <c r="N7" s="34"/>
      <c r="O7" s="34"/>
      <c r="P7" s="34"/>
      <c r="Q7" s="34"/>
      <c r="R7" s="57"/>
      <c r="S7" s="608"/>
      <c r="T7" s="609"/>
      <c r="U7" s="610"/>
      <c r="V7" s="576"/>
      <c r="W7" s="576"/>
      <c r="X7" s="499"/>
      <c r="Y7" s="500"/>
      <c r="Z7" s="499"/>
      <c r="AA7" s="499"/>
      <c r="AB7" s="506"/>
      <c r="AC7" s="506"/>
      <c r="AD7" s="506"/>
      <c r="AE7" s="506"/>
      <c r="AF7" s="506"/>
    </row>
    <row r="8" spans="1:32" s="19" customFormat="1" ht="20.149999999999999" customHeight="1" thickBot="1" x14ac:dyDescent="0.35">
      <c r="B8" s="112"/>
      <c r="C8" s="187"/>
      <c r="D8" s="187"/>
      <c r="E8" s="165" t="s">
        <v>10</v>
      </c>
      <c r="F8" s="31" t="s">
        <v>13</v>
      </c>
      <c r="G8" s="31" t="s">
        <v>0</v>
      </c>
      <c r="H8" s="165" t="s">
        <v>10</v>
      </c>
      <c r="I8" s="31" t="s">
        <v>13</v>
      </c>
      <c r="J8" s="166" t="s">
        <v>0</v>
      </c>
      <c r="K8" s="158"/>
      <c r="L8" s="57"/>
      <c r="M8" s="57"/>
      <c r="N8" s="63"/>
      <c r="O8" s="63"/>
      <c r="P8" s="35"/>
      <c r="Q8" s="35"/>
      <c r="R8" s="61"/>
      <c r="S8" s="576"/>
      <c r="T8" s="576"/>
      <c r="U8" s="576"/>
      <c r="V8" s="576"/>
      <c r="W8" s="576"/>
      <c r="X8" s="499" t="s">
        <v>164</v>
      </c>
      <c r="Y8" s="500"/>
      <c r="Z8" s="499">
        <v>7</v>
      </c>
      <c r="AA8" s="499" t="s">
        <v>163</v>
      </c>
      <c r="AB8" s="509"/>
      <c r="AC8" s="509"/>
      <c r="AD8" s="509"/>
      <c r="AE8" s="509"/>
      <c r="AF8" s="509"/>
    </row>
    <row r="9" spans="1:32" s="8" customFormat="1" ht="16" customHeight="1" thickTop="1" thickBot="1" x14ac:dyDescent="0.35">
      <c r="B9" s="114"/>
      <c r="C9" s="34"/>
      <c r="D9" s="170"/>
      <c r="E9" s="247">
        <f>E7</f>
        <v>44562</v>
      </c>
      <c r="F9" s="272"/>
      <c r="G9" s="470"/>
      <c r="H9" s="408">
        <f>H7</f>
        <v>44593</v>
      </c>
      <c r="I9" s="452"/>
      <c r="J9" s="479"/>
      <c r="K9" s="122"/>
      <c r="L9" s="37"/>
      <c r="M9" s="37"/>
      <c r="N9" s="63"/>
      <c r="O9" s="63"/>
      <c r="P9" s="35"/>
      <c r="Q9" s="35"/>
      <c r="R9" s="61"/>
      <c r="S9" s="62"/>
      <c r="T9" s="84"/>
      <c r="V9" s="60"/>
      <c r="X9" s="499">
        <f>IF(S7="綾川町・まんのう町・直島町　以外",COUNTIF(F29:F32,"○"),0)</f>
        <v>0</v>
      </c>
      <c r="Y9" s="502"/>
      <c r="Z9" s="503">
        <f>Z6+Z8</f>
        <v>7</v>
      </c>
      <c r="AA9" s="503"/>
      <c r="AB9" s="511"/>
      <c r="AC9" s="511"/>
      <c r="AD9" s="511"/>
      <c r="AE9" s="511"/>
      <c r="AF9" s="511"/>
    </row>
    <row r="10" spans="1:32" s="8" customFormat="1" ht="16" customHeight="1" thickTop="1" x14ac:dyDescent="0.3">
      <c r="B10" s="114"/>
      <c r="C10" s="34"/>
      <c r="D10" s="170"/>
      <c r="E10" s="174">
        <f>E9+1</f>
        <v>44563</v>
      </c>
      <c r="F10" s="211"/>
      <c r="G10" s="237"/>
      <c r="H10" s="407">
        <f>H9+1</f>
        <v>44594</v>
      </c>
      <c r="I10" s="461"/>
      <c r="J10" s="480"/>
      <c r="K10" s="122"/>
      <c r="L10" s="37"/>
      <c r="M10" s="37"/>
      <c r="N10" s="63"/>
      <c r="O10" s="63"/>
      <c r="P10" s="35"/>
      <c r="Q10" s="35"/>
      <c r="R10" s="61"/>
      <c r="S10" s="62"/>
      <c r="T10" s="84"/>
      <c r="V10" s="60"/>
      <c r="X10" s="499"/>
      <c r="Y10" s="504"/>
      <c r="Z10" s="499"/>
      <c r="AA10" s="499"/>
      <c r="AB10" s="511"/>
      <c r="AC10" s="511"/>
      <c r="AD10" s="511"/>
      <c r="AE10" s="511"/>
      <c r="AF10" s="511"/>
    </row>
    <row r="11" spans="1:32" s="8" customFormat="1" ht="16" customHeight="1" x14ac:dyDescent="0.3">
      <c r="B11" s="114"/>
      <c r="C11" s="34"/>
      <c r="D11" s="170"/>
      <c r="E11" s="174">
        <f t="shared" ref="E11:E38" si="0">E10+1</f>
        <v>44564</v>
      </c>
      <c r="F11" s="211"/>
      <c r="G11" s="237"/>
      <c r="H11" s="179">
        <f t="shared" ref="H11:H36" si="1">H10+1</f>
        <v>44595</v>
      </c>
      <c r="I11" s="314"/>
      <c r="J11" s="481"/>
      <c r="K11" s="122"/>
      <c r="L11" s="37"/>
      <c r="M11" s="37"/>
      <c r="N11" s="63"/>
      <c r="O11" s="63"/>
      <c r="P11" s="35"/>
      <c r="Q11" s="35"/>
      <c r="R11" s="61"/>
      <c r="S11" s="60"/>
      <c r="T11" s="83"/>
      <c r="V11" s="60"/>
      <c r="X11" s="499" t="s">
        <v>163</v>
      </c>
      <c r="Y11" s="505"/>
      <c r="Z11" s="499">
        <f>IF(S7="直島町",0,1)</f>
        <v>1</v>
      </c>
      <c r="AA11" s="506" t="s">
        <v>165</v>
      </c>
      <c r="AB11" s="511"/>
      <c r="AC11" s="511"/>
      <c r="AD11" s="511"/>
      <c r="AE11" s="511"/>
      <c r="AF11" s="511"/>
    </row>
    <row r="12" spans="1:32" s="8" customFormat="1" ht="16" customHeight="1" x14ac:dyDescent="0.3">
      <c r="B12" s="114"/>
      <c r="C12" s="34"/>
      <c r="D12" s="170"/>
      <c r="E12" s="174">
        <f>E11+1</f>
        <v>44565</v>
      </c>
      <c r="F12" s="211"/>
      <c r="G12" s="237"/>
      <c r="H12" s="179">
        <f>H11+1</f>
        <v>44596</v>
      </c>
      <c r="I12" s="314"/>
      <c r="J12" s="481"/>
      <c r="K12" s="122"/>
      <c r="L12" s="37"/>
      <c r="M12" s="37"/>
      <c r="N12" s="63"/>
      <c r="O12" s="63"/>
      <c r="P12" s="35"/>
      <c r="Q12" s="35"/>
      <c r="R12" s="61"/>
      <c r="S12" s="62"/>
      <c r="T12" s="83"/>
      <c r="V12" s="60"/>
      <c r="X12" s="507">
        <f>COUNTIF(F33:F39,"○")</f>
        <v>0</v>
      </c>
      <c r="Y12" s="508"/>
      <c r="Z12" s="509">
        <f>Z9*Z11</f>
        <v>7</v>
      </c>
      <c r="AA12" s="509" t="s">
        <v>166</v>
      </c>
      <c r="AB12" s="511"/>
      <c r="AC12" s="511"/>
      <c r="AD12" s="511"/>
      <c r="AE12" s="511"/>
      <c r="AF12" s="511"/>
    </row>
    <row r="13" spans="1:32" s="8" customFormat="1" ht="16" customHeight="1" x14ac:dyDescent="0.3">
      <c r="B13" s="114"/>
      <c r="C13" s="34"/>
      <c r="D13" s="170"/>
      <c r="E13" s="174">
        <f t="shared" si="0"/>
        <v>44566</v>
      </c>
      <c r="F13" s="211"/>
      <c r="G13" s="237"/>
      <c r="H13" s="179">
        <f t="shared" si="1"/>
        <v>44597</v>
      </c>
      <c r="I13" s="314"/>
      <c r="J13" s="481"/>
      <c r="K13" s="122"/>
      <c r="L13" s="37"/>
      <c r="M13" s="37"/>
      <c r="N13" s="35"/>
      <c r="O13" s="35"/>
      <c r="P13" s="35"/>
      <c r="Q13" s="35"/>
      <c r="R13" s="61"/>
      <c r="S13" s="62"/>
      <c r="T13" s="84"/>
      <c r="V13" s="60"/>
      <c r="X13" s="506" t="s">
        <v>171</v>
      </c>
      <c r="Y13" s="510"/>
      <c r="Z13" s="511"/>
      <c r="AA13" s="511"/>
      <c r="AB13" s="511"/>
      <c r="AC13" s="511"/>
      <c r="AD13" s="511"/>
      <c r="AE13" s="511"/>
      <c r="AF13" s="511"/>
    </row>
    <row r="14" spans="1:32" s="8" customFormat="1" ht="16" customHeight="1" x14ac:dyDescent="0.3">
      <c r="B14" s="114"/>
      <c r="C14" s="34"/>
      <c r="D14" s="170"/>
      <c r="E14" s="248">
        <f t="shared" si="0"/>
        <v>44567</v>
      </c>
      <c r="F14" s="212"/>
      <c r="G14" s="471"/>
      <c r="H14" s="217">
        <f t="shared" si="1"/>
        <v>44598</v>
      </c>
      <c r="I14" s="453"/>
      <c r="J14" s="482"/>
      <c r="K14" s="122"/>
      <c r="L14" s="37"/>
      <c r="M14" s="37"/>
      <c r="N14" s="35"/>
      <c r="O14" s="35"/>
      <c r="P14" s="35"/>
      <c r="Q14" s="35"/>
      <c r="R14" s="61"/>
      <c r="S14" s="62"/>
      <c r="T14" s="84"/>
      <c r="V14" s="60"/>
      <c r="X14" s="512">
        <f>X9+X12</f>
        <v>0</v>
      </c>
      <c r="Y14" s="510"/>
      <c r="Z14" s="511"/>
      <c r="AA14" s="511"/>
      <c r="AB14" s="511"/>
      <c r="AC14" s="511"/>
      <c r="AD14" s="511"/>
      <c r="AE14" s="511"/>
      <c r="AF14" s="511"/>
    </row>
    <row r="15" spans="1:32" s="8" customFormat="1" ht="16" customHeight="1" x14ac:dyDescent="0.3">
      <c r="B15" s="114"/>
      <c r="C15" s="34"/>
      <c r="D15" s="170"/>
      <c r="E15" s="247">
        <f t="shared" si="0"/>
        <v>44568</v>
      </c>
      <c r="F15" s="272"/>
      <c r="G15" s="470"/>
      <c r="H15" s="209">
        <f t="shared" si="1"/>
        <v>44599</v>
      </c>
      <c r="I15" s="454"/>
      <c r="J15" s="483"/>
      <c r="K15" s="122"/>
      <c r="L15" s="37"/>
      <c r="M15" s="37"/>
      <c r="N15" s="35"/>
      <c r="O15" s="35"/>
      <c r="P15" s="35"/>
      <c r="Q15" s="35"/>
      <c r="R15" s="61"/>
      <c r="S15" s="60"/>
      <c r="T15" s="83"/>
      <c r="V15" s="60"/>
      <c r="X15" s="506" t="s">
        <v>165</v>
      </c>
      <c r="Y15" s="510"/>
      <c r="Z15" s="499">
        <f>IF(S7="直島町",12,13)</f>
        <v>13</v>
      </c>
      <c r="AA15" s="511" t="s">
        <v>167</v>
      </c>
      <c r="AB15" s="511"/>
      <c r="AC15" s="511"/>
      <c r="AD15" s="511"/>
      <c r="AE15" s="511"/>
      <c r="AF15" s="511"/>
    </row>
    <row r="16" spans="1:32" s="8" customFormat="1" ht="16" customHeight="1" x14ac:dyDescent="0.3">
      <c r="B16" s="114"/>
      <c r="C16" s="34"/>
      <c r="D16" s="170"/>
      <c r="E16" s="174">
        <f t="shared" si="0"/>
        <v>44569</v>
      </c>
      <c r="F16" s="211"/>
      <c r="G16" s="237"/>
      <c r="H16" s="179">
        <f t="shared" si="1"/>
        <v>44600</v>
      </c>
      <c r="I16" s="314"/>
      <c r="J16" s="481"/>
      <c r="K16" s="122"/>
      <c r="L16" s="37"/>
      <c r="M16" s="37"/>
      <c r="N16" s="63"/>
      <c r="O16" s="63"/>
      <c r="P16" s="35"/>
      <c r="Q16" s="35"/>
      <c r="R16" s="61"/>
      <c r="S16" s="62"/>
      <c r="T16" s="83"/>
      <c r="V16" s="60"/>
      <c r="X16" s="499">
        <f>IF(S7="直島町",0,1)</f>
        <v>1</v>
      </c>
      <c r="Y16" s="511"/>
      <c r="Z16" s="511"/>
      <c r="AA16" s="511"/>
      <c r="AB16" s="511"/>
      <c r="AC16" s="511"/>
      <c r="AD16" s="511"/>
      <c r="AE16" s="511"/>
      <c r="AF16" s="511"/>
    </row>
    <row r="17" spans="2:32" s="8" customFormat="1" ht="16" customHeight="1" x14ac:dyDescent="0.3">
      <c r="B17" s="114"/>
      <c r="C17" s="34"/>
      <c r="D17" s="170"/>
      <c r="E17" s="174">
        <f t="shared" si="0"/>
        <v>44570</v>
      </c>
      <c r="F17" s="211"/>
      <c r="G17" s="237"/>
      <c r="H17" s="179">
        <f t="shared" si="1"/>
        <v>44601</v>
      </c>
      <c r="I17" s="314"/>
      <c r="J17" s="481"/>
      <c r="K17" s="122"/>
      <c r="L17" s="37"/>
      <c r="M17" s="37"/>
      <c r="N17" s="35"/>
      <c r="O17" s="35"/>
      <c r="P17" s="35"/>
      <c r="Q17" s="35"/>
      <c r="R17" s="61"/>
      <c r="S17" s="62"/>
      <c r="T17" s="84"/>
      <c r="V17" s="60"/>
      <c r="X17" s="513">
        <f>X14*X16</f>
        <v>0</v>
      </c>
      <c r="Y17" s="511"/>
      <c r="Z17" s="511" t="s">
        <v>175</v>
      </c>
      <c r="AA17" s="511"/>
      <c r="AB17" s="511"/>
      <c r="AC17" s="511"/>
      <c r="AD17" s="511"/>
      <c r="AE17" s="511"/>
      <c r="AF17" s="511"/>
    </row>
    <row r="18" spans="2:32" s="8" customFormat="1" ht="16" customHeight="1" x14ac:dyDescent="0.3">
      <c r="B18" s="114"/>
      <c r="C18" s="34"/>
      <c r="D18" s="170"/>
      <c r="E18" s="174">
        <f t="shared" si="0"/>
        <v>44571</v>
      </c>
      <c r="F18" s="211"/>
      <c r="G18" s="237"/>
      <c r="H18" s="179">
        <f t="shared" si="1"/>
        <v>44602</v>
      </c>
      <c r="I18" s="314"/>
      <c r="J18" s="481"/>
      <c r="K18" s="122"/>
      <c r="L18" s="37"/>
      <c r="M18" s="37"/>
      <c r="N18" s="35"/>
      <c r="O18" s="35"/>
      <c r="P18" s="35"/>
      <c r="Q18" s="35"/>
      <c r="R18" s="61"/>
      <c r="S18" s="62"/>
      <c r="T18" s="84"/>
      <c r="V18" s="60"/>
      <c r="X18" s="514"/>
      <c r="Y18" s="511"/>
      <c r="Z18" s="511" t="s">
        <v>176</v>
      </c>
      <c r="AA18" s="511"/>
      <c r="AB18" s="511"/>
      <c r="AC18" s="511"/>
      <c r="AD18" s="511"/>
      <c r="AE18" s="511"/>
      <c r="AF18" s="511"/>
    </row>
    <row r="19" spans="2:32" s="8" customFormat="1" ht="16" customHeight="1" x14ac:dyDescent="0.3">
      <c r="B19" s="114"/>
      <c r="C19" s="34"/>
      <c r="D19" s="170"/>
      <c r="E19" s="248">
        <f t="shared" si="0"/>
        <v>44572</v>
      </c>
      <c r="F19" s="212"/>
      <c r="G19" s="471"/>
      <c r="H19" s="217">
        <f t="shared" si="1"/>
        <v>44603</v>
      </c>
      <c r="I19" s="453"/>
      <c r="J19" s="482"/>
      <c r="K19" s="122"/>
      <c r="L19" s="37"/>
      <c r="M19" s="37"/>
      <c r="N19" s="35"/>
      <c r="O19" s="35"/>
      <c r="P19" s="35"/>
      <c r="Q19" s="35"/>
      <c r="R19" s="61"/>
      <c r="S19" s="60"/>
      <c r="T19" s="83"/>
      <c r="V19" s="60"/>
      <c r="X19" s="514"/>
      <c r="Y19" s="511"/>
      <c r="Z19" s="511">
        <v>12</v>
      </c>
      <c r="AA19" s="511"/>
      <c r="AB19" s="511"/>
      <c r="AC19" s="511"/>
      <c r="AD19" s="511"/>
      <c r="AE19" s="511"/>
      <c r="AF19" s="511"/>
    </row>
    <row r="20" spans="2:32" s="8" customFormat="1" ht="16" customHeight="1" x14ac:dyDescent="0.3">
      <c r="B20" s="114"/>
      <c r="C20" s="34"/>
      <c r="D20" s="170"/>
      <c r="E20" s="279">
        <f t="shared" si="0"/>
        <v>44573</v>
      </c>
      <c r="F20" s="275"/>
      <c r="G20" s="486"/>
      <c r="H20" s="326">
        <f t="shared" si="1"/>
        <v>44604</v>
      </c>
      <c r="I20" s="455"/>
      <c r="J20" s="484"/>
      <c r="K20" s="122"/>
      <c r="L20" s="37"/>
      <c r="M20" s="37"/>
      <c r="N20" s="63"/>
      <c r="O20" s="63"/>
      <c r="P20" s="35"/>
      <c r="Q20" s="35"/>
      <c r="R20" s="61"/>
      <c r="S20" s="62"/>
      <c r="T20" s="83"/>
      <c r="V20" s="60"/>
      <c r="X20" s="514" t="s">
        <v>175</v>
      </c>
      <c r="Y20" s="511"/>
      <c r="Z20" s="506" t="s">
        <v>165</v>
      </c>
      <c r="AA20" s="511"/>
      <c r="AB20" s="511"/>
      <c r="AC20" s="511"/>
      <c r="AD20" s="511"/>
      <c r="AE20" s="511"/>
      <c r="AF20" s="511"/>
    </row>
    <row r="21" spans="2:32" s="8" customFormat="1" ht="16" customHeight="1" thickBot="1" x14ac:dyDescent="0.35">
      <c r="B21" s="114"/>
      <c r="C21" s="34"/>
      <c r="D21" s="170"/>
      <c r="E21" s="249">
        <f t="shared" si="0"/>
        <v>44574</v>
      </c>
      <c r="F21" s="450"/>
      <c r="G21" s="472"/>
      <c r="H21" s="305">
        <f t="shared" si="1"/>
        <v>44605</v>
      </c>
      <c r="I21" s="306"/>
      <c r="J21" s="478"/>
      <c r="K21" s="122"/>
      <c r="L21" s="37"/>
      <c r="M21" s="92"/>
      <c r="N21" s="42"/>
      <c r="O21" s="42"/>
      <c r="P21" s="42"/>
      <c r="Q21" s="42"/>
      <c r="R21" s="69"/>
      <c r="S21" s="70"/>
      <c r="T21" s="93"/>
      <c r="U21" s="71"/>
      <c r="V21" s="71"/>
      <c r="X21" s="499" t="s">
        <v>164</v>
      </c>
      <c r="Y21" s="511"/>
      <c r="Z21" s="499">
        <f>IF(S7="直島町",0,1)</f>
        <v>1</v>
      </c>
      <c r="AA21" s="511"/>
      <c r="AB21" s="511"/>
      <c r="AC21" s="511"/>
      <c r="AD21" s="511"/>
      <c r="AE21" s="511"/>
      <c r="AF21" s="511"/>
    </row>
    <row r="22" spans="2:32" s="8" customFormat="1" ht="16" customHeight="1" thickTop="1" x14ac:dyDescent="0.3">
      <c r="B22" s="114"/>
      <c r="C22" s="34"/>
      <c r="D22" s="170"/>
      <c r="E22" s="249">
        <f t="shared" si="0"/>
        <v>44575</v>
      </c>
      <c r="F22" s="450"/>
      <c r="G22" s="473"/>
      <c r="H22" s="307">
        <f t="shared" si="1"/>
        <v>44606</v>
      </c>
      <c r="I22" s="451"/>
      <c r="J22" s="485"/>
      <c r="K22" s="122"/>
      <c r="L22" s="37"/>
      <c r="M22" s="85"/>
      <c r="N22" s="468" t="s">
        <v>195</v>
      </c>
      <c r="O22" s="95"/>
      <c r="P22" s="52"/>
      <c r="Q22" s="52"/>
      <c r="R22" s="86"/>
      <c r="S22" s="87"/>
      <c r="T22" s="88"/>
      <c r="V22" s="65"/>
      <c r="X22" s="499">
        <f>IF(S7="綾川町・まんのう町・直島町　以外",4,0)</f>
        <v>0</v>
      </c>
      <c r="Y22" s="511"/>
      <c r="Z22" s="513">
        <f>Z19+Z21</f>
        <v>13</v>
      </c>
      <c r="AA22" s="511"/>
      <c r="AB22" s="511"/>
      <c r="AC22" s="511"/>
      <c r="AD22" s="511"/>
      <c r="AE22" s="511"/>
      <c r="AF22" s="511"/>
    </row>
    <row r="23" spans="2:32" s="8" customFormat="1" ht="16" customHeight="1" x14ac:dyDescent="0.3">
      <c r="B23" s="114"/>
      <c r="C23" s="34"/>
      <c r="D23" s="170"/>
      <c r="E23" s="249">
        <f t="shared" si="0"/>
        <v>44576</v>
      </c>
      <c r="F23" s="450"/>
      <c r="G23" s="473"/>
      <c r="H23" s="249">
        <f t="shared" si="1"/>
        <v>44607</v>
      </c>
      <c r="I23" s="450"/>
      <c r="J23" s="473"/>
      <c r="K23" s="122"/>
      <c r="L23" s="37"/>
      <c r="M23" s="67"/>
      <c r="N23" s="35"/>
      <c r="O23" s="35"/>
      <c r="P23" s="35"/>
      <c r="Q23" s="35"/>
      <c r="R23" s="61"/>
      <c r="S23" s="60"/>
      <c r="T23" s="94" t="s">
        <v>11</v>
      </c>
      <c r="V23" s="66"/>
      <c r="X23" s="514" t="s">
        <v>176</v>
      </c>
      <c r="Y23" s="511"/>
      <c r="Z23" s="511"/>
      <c r="AA23" s="511"/>
      <c r="AB23" s="511"/>
      <c r="AC23" s="511"/>
      <c r="AD23" s="511"/>
      <c r="AE23" s="511"/>
      <c r="AF23" s="511"/>
    </row>
    <row r="24" spans="2:32" s="8" customFormat="1" ht="16" customHeight="1" x14ac:dyDescent="0.3">
      <c r="B24" s="114"/>
      <c r="C24" s="34"/>
      <c r="D24" s="170"/>
      <c r="E24" s="249">
        <f t="shared" si="0"/>
        <v>44577</v>
      </c>
      <c r="F24" s="450"/>
      <c r="G24" s="473"/>
      <c r="H24" s="249">
        <f t="shared" si="1"/>
        <v>44608</v>
      </c>
      <c r="I24" s="450"/>
      <c r="J24" s="473"/>
      <c r="K24" s="122"/>
      <c r="L24" s="37"/>
      <c r="M24" s="67"/>
      <c r="N24" s="63"/>
      <c r="O24" s="186" t="s">
        <v>120</v>
      </c>
      <c r="P24" s="50"/>
      <c r="Q24" s="43"/>
      <c r="R24" s="44"/>
      <c r="S24" s="183">
        <f>'②-1'!J53</f>
        <v>0</v>
      </c>
      <c r="T24" s="612"/>
      <c r="V24" s="66"/>
      <c r="X24" s="513">
        <v>7</v>
      </c>
      <c r="Y24" s="511"/>
      <c r="Z24" s="511" t="s">
        <v>178</v>
      </c>
      <c r="AA24" s="511"/>
      <c r="AB24" s="511"/>
      <c r="AC24" s="511"/>
      <c r="AD24" s="511"/>
      <c r="AE24" s="511"/>
      <c r="AF24" s="511"/>
    </row>
    <row r="25" spans="2:32" s="8" customFormat="1" ht="16" customHeight="1" x14ac:dyDescent="0.3">
      <c r="B25" s="114"/>
      <c r="C25" s="34"/>
      <c r="D25" s="170"/>
      <c r="E25" s="249">
        <f t="shared" si="0"/>
        <v>44578</v>
      </c>
      <c r="F25" s="450"/>
      <c r="G25" s="473"/>
      <c r="H25" s="249">
        <f t="shared" si="1"/>
        <v>44609</v>
      </c>
      <c r="I25" s="450"/>
      <c r="J25" s="473"/>
      <c r="K25" s="122"/>
      <c r="L25" s="37"/>
      <c r="M25" s="67"/>
      <c r="N25" s="35"/>
      <c r="O25" s="51"/>
      <c r="P25" s="45" t="s">
        <v>122</v>
      </c>
      <c r="Q25" s="46"/>
      <c r="R25" s="47"/>
      <c r="S25" s="183">
        <f>J50</f>
        <v>0</v>
      </c>
      <c r="T25" s="613"/>
      <c r="V25" s="66"/>
      <c r="X25" s="506" t="s">
        <v>171</v>
      </c>
      <c r="Y25" s="511"/>
      <c r="Z25" s="499" t="s">
        <v>165</v>
      </c>
      <c r="AA25" s="511"/>
      <c r="AB25" s="511"/>
      <c r="AC25" s="511"/>
      <c r="AD25" s="511"/>
      <c r="AE25" s="511"/>
      <c r="AF25" s="511"/>
    </row>
    <row r="26" spans="2:32" s="8" customFormat="1" ht="16" customHeight="1" x14ac:dyDescent="0.3">
      <c r="B26" s="114"/>
      <c r="C26" s="34"/>
      <c r="D26" s="170"/>
      <c r="E26" s="249">
        <f t="shared" si="0"/>
        <v>44579</v>
      </c>
      <c r="F26" s="450"/>
      <c r="G26" s="473"/>
      <c r="H26" s="249">
        <f t="shared" si="1"/>
        <v>44610</v>
      </c>
      <c r="I26" s="450"/>
      <c r="J26" s="473"/>
      <c r="K26" s="122"/>
      <c r="L26" s="37"/>
      <c r="M26" s="67"/>
      <c r="N26" s="35"/>
      <c r="O26" s="48"/>
      <c r="P26" s="42" t="s">
        <v>30</v>
      </c>
      <c r="Q26" s="42"/>
      <c r="R26" s="49"/>
      <c r="S26" s="183">
        <f>+ROUNDUP((S24-S25)*0.4,-3)</f>
        <v>0</v>
      </c>
      <c r="T26" s="614"/>
      <c r="V26" s="66"/>
      <c r="X26" s="512">
        <f>X22+X24</f>
        <v>7</v>
      </c>
      <c r="Y26" s="511"/>
      <c r="Z26" s="499">
        <f>IF(S7="直島町",0,COUNTIF(I9,"○"))</f>
        <v>0</v>
      </c>
      <c r="AA26" s="511"/>
      <c r="AB26" s="511"/>
      <c r="AC26" s="511"/>
      <c r="AD26" s="511"/>
      <c r="AE26" s="511"/>
      <c r="AF26" s="511"/>
    </row>
    <row r="27" spans="2:32" s="8" customFormat="1" ht="16" customHeight="1" x14ac:dyDescent="0.3">
      <c r="B27" s="114"/>
      <c r="C27" s="34"/>
      <c r="D27" s="170"/>
      <c r="E27" s="249">
        <f t="shared" si="0"/>
        <v>44580</v>
      </c>
      <c r="F27" s="450"/>
      <c r="G27" s="473"/>
      <c r="H27" s="249">
        <f t="shared" si="1"/>
        <v>44611</v>
      </c>
      <c r="I27" s="450"/>
      <c r="J27" s="473"/>
      <c r="K27" s="122"/>
      <c r="L27" s="37"/>
      <c r="M27" s="67"/>
      <c r="N27" s="35"/>
      <c r="O27" s="35"/>
      <c r="P27" s="35"/>
      <c r="Q27" s="35"/>
      <c r="R27" s="61" t="s">
        <v>7</v>
      </c>
      <c r="S27" s="184"/>
      <c r="T27" s="60"/>
      <c r="V27" s="66"/>
      <c r="X27" s="506" t="s">
        <v>165</v>
      </c>
      <c r="Y27" s="511"/>
      <c r="Z27" s="499"/>
      <c r="AA27" s="511"/>
      <c r="AB27" s="511"/>
      <c r="AC27" s="511"/>
      <c r="AD27" s="511"/>
      <c r="AE27" s="511"/>
      <c r="AF27" s="511"/>
    </row>
    <row r="28" spans="2:32" s="8" customFormat="1" ht="16" customHeight="1" thickBot="1" x14ac:dyDescent="0.35">
      <c r="B28" s="114"/>
      <c r="C28" s="34"/>
      <c r="D28" s="170"/>
      <c r="E28" s="250">
        <f t="shared" si="0"/>
        <v>44581</v>
      </c>
      <c r="F28" s="466"/>
      <c r="G28" s="474"/>
      <c r="H28" s="249">
        <f t="shared" si="1"/>
        <v>44612</v>
      </c>
      <c r="I28" s="450"/>
      <c r="J28" s="473"/>
      <c r="K28" s="122"/>
      <c r="L28" s="37"/>
      <c r="M28" s="67"/>
      <c r="N28" s="63"/>
      <c r="O28" s="186" t="s">
        <v>121</v>
      </c>
      <c r="P28" s="52"/>
      <c r="Q28" s="52"/>
      <c r="R28" s="53"/>
      <c r="S28" s="183">
        <f>'②-1'!U53</f>
        <v>0</v>
      </c>
      <c r="T28" s="621"/>
      <c r="V28" s="66"/>
      <c r="X28" s="499">
        <f>IF(S7="直島町",0,1)</f>
        <v>1</v>
      </c>
      <c r="Y28" s="511"/>
      <c r="Z28" s="499" t="s">
        <v>172</v>
      </c>
      <c r="AA28" s="511"/>
      <c r="AB28" s="511"/>
      <c r="AC28" s="511"/>
      <c r="AD28" s="511"/>
      <c r="AE28" s="511"/>
      <c r="AF28" s="511"/>
    </row>
    <row r="29" spans="2:32" s="8" customFormat="1" ht="16" customHeight="1" thickTop="1" x14ac:dyDescent="0.3">
      <c r="B29" s="114"/>
      <c r="C29" s="34"/>
      <c r="D29" s="170"/>
      <c r="E29" s="302">
        <f t="shared" si="0"/>
        <v>44582</v>
      </c>
      <c r="F29" s="303"/>
      <c r="G29" s="475"/>
      <c r="H29" s="327">
        <f t="shared" si="1"/>
        <v>44613</v>
      </c>
      <c r="I29" s="450"/>
      <c r="J29" s="473"/>
      <c r="K29" s="122"/>
      <c r="L29" s="37"/>
      <c r="M29" s="67"/>
      <c r="N29" s="35"/>
      <c r="O29" s="54"/>
      <c r="P29" s="45" t="s">
        <v>122</v>
      </c>
      <c r="Q29" s="35"/>
      <c r="R29" s="55"/>
      <c r="S29" s="183">
        <f>J50</f>
        <v>0</v>
      </c>
      <c r="T29" s="624"/>
      <c r="V29" s="66"/>
      <c r="X29" s="513">
        <f>X26*X28</f>
        <v>7</v>
      </c>
      <c r="Y29" s="511"/>
      <c r="Z29" s="507">
        <f>COUNTIF(I10:I21,"○")</f>
        <v>0</v>
      </c>
      <c r="AA29" s="511"/>
      <c r="AB29" s="511"/>
      <c r="AC29" s="511"/>
      <c r="AD29" s="511"/>
      <c r="AE29" s="511"/>
      <c r="AF29" s="511"/>
    </row>
    <row r="30" spans="2:32" s="8" customFormat="1" ht="16" customHeight="1" x14ac:dyDescent="0.3">
      <c r="B30" s="114"/>
      <c r="C30" s="34"/>
      <c r="D30" s="170"/>
      <c r="E30" s="304">
        <f t="shared" si="0"/>
        <v>44583</v>
      </c>
      <c r="F30" s="300"/>
      <c r="G30" s="476"/>
      <c r="H30" s="327">
        <f t="shared" si="1"/>
        <v>44614</v>
      </c>
      <c r="I30" s="450"/>
      <c r="J30" s="473"/>
      <c r="K30" s="122"/>
      <c r="L30" s="37"/>
      <c r="M30" s="67"/>
      <c r="N30" s="35"/>
      <c r="O30" s="56"/>
      <c r="P30" s="42" t="s">
        <v>31</v>
      </c>
      <c r="Q30" s="42"/>
      <c r="R30" s="49"/>
      <c r="S30" s="183">
        <f>+ROUNDUP((S28-S29)*0.4,-3)</f>
        <v>0</v>
      </c>
      <c r="T30" s="625"/>
      <c r="V30" s="66"/>
      <c r="X30" s="514"/>
      <c r="Y30" s="511"/>
      <c r="Z30" s="506" t="s">
        <v>171</v>
      </c>
      <c r="AA30" s="511"/>
      <c r="AB30" s="511"/>
      <c r="AC30" s="511"/>
      <c r="AD30" s="511"/>
      <c r="AE30" s="511"/>
      <c r="AF30" s="511"/>
    </row>
    <row r="31" spans="2:32" s="8" customFormat="1" ht="16" customHeight="1" x14ac:dyDescent="0.3">
      <c r="B31" s="114"/>
      <c r="C31" s="34"/>
      <c r="D31" s="170"/>
      <c r="E31" s="304">
        <f t="shared" si="0"/>
        <v>44584</v>
      </c>
      <c r="F31" s="300"/>
      <c r="G31" s="476"/>
      <c r="H31" s="327">
        <f t="shared" si="1"/>
        <v>44615</v>
      </c>
      <c r="I31" s="450"/>
      <c r="J31" s="473"/>
      <c r="K31" s="122"/>
      <c r="L31" s="37"/>
      <c r="M31" s="67"/>
      <c r="N31" s="35"/>
      <c r="O31" s="35"/>
      <c r="P31" s="35"/>
      <c r="Q31" s="35"/>
      <c r="R31" s="61"/>
      <c r="S31" s="184"/>
      <c r="T31" s="60"/>
      <c r="V31" s="66"/>
      <c r="X31" s="514" t="s">
        <v>179</v>
      </c>
      <c r="Y31" s="511"/>
      <c r="Z31" s="512">
        <f>Z26+Z29</f>
        <v>0</v>
      </c>
      <c r="AA31" s="511"/>
      <c r="AB31" s="511"/>
      <c r="AC31" s="511"/>
      <c r="AD31" s="511"/>
      <c r="AE31" s="511"/>
      <c r="AF31" s="511"/>
    </row>
    <row r="32" spans="2:32" s="8" customFormat="1" ht="16" customHeight="1" thickBot="1" x14ac:dyDescent="0.35">
      <c r="B32" s="114"/>
      <c r="C32" s="34"/>
      <c r="D32" s="170"/>
      <c r="E32" s="312">
        <f t="shared" si="0"/>
        <v>44585</v>
      </c>
      <c r="F32" s="301"/>
      <c r="G32" s="477"/>
      <c r="H32" s="327">
        <f t="shared" si="1"/>
        <v>44616</v>
      </c>
      <c r="I32" s="450"/>
      <c r="J32" s="473"/>
      <c r="K32" s="122"/>
      <c r="L32" s="37"/>
      <c r="M32" s="67"/>
      <c r="N32" s="63"/>
      <c r="O32" s="186" t="s">
        <v>123</v>
      </c>
      <c r="P32" s="52"/>
      <c r="Q32" s="52"/>
      <c r="R32" s="53"/>
      <c r="S32" s="183">
        <f>'②-1'!J63</f>
        <v>0</v>
      </c>
      <c r="T32" s="612"/>
      <c r="V32" s="66"/>
      <c r="X32" s="499" t="s">
        <v>159</v>
      </c>
      <c r="Y32" s="511"/>
      <c r="Z32" s="506"/>
      <c r="AA32" s="511"/>
      <c r="AB32" s="511"/>
      <c r="AC32" s="511"/>
      <c r="AD32" s="511"/>
      <c r="AE32" s="511"/>
      <c r="AF32" s="511"/>
    </row>
    <row r="33" spans="1:32" s="8" customFormat="1" ht="16" customHeight="1" thickTop="1" x14ac:dyDescent="0.3">
      <c r="B33" s="114"/>
      <c r="C33" s="34"/>
      <c r="D33" s="170"/>
      <c r="E33" s="302">
        <f t="shared" si="0"/>
        <v>44586</v>
      </c>
      <c r="F33" s="303"/>
      <c r="G33" s="475"/>
      <c r="H33" s="327">
        <f t="shared" si="1"/>
        <v>44617</v>
      </c>
      <c r="I33" s="450"/>
      <c r="J33" s="473"/>
      <c r="K33" s="122"/>
      <c r="L33" s="37"/>
      <c r="M33" s="67"/>
      <c r="N33" s="35"/>
      <c r="O33" s="54"/>
      <c r="P33" s="35" t="s">
        <v>124</v>
      </c>
      <c r="Q33" s="35"/>
      <c r="R33" s="55"/>
      <c r="S33" s="183">
        <f>J60</f>
        <v>0</v>
      </c>
      <c r="T33" s="613"/>
      <c r="V33" s="66"/>
      <c r="X33" s="499" t="e">
        <f>IF(#REF!="綾川町・まんのう町",0,SUM(H2:H5))</f>
        <v>#REF!</v>
      </c>
      <c r="Y33" s="511"/>
      <c r="Z33" s="499" t="s">
        <v>180</v>
      </c>
      <c r="AA33" s="511"/>
      <c r="AB33" s="511"/>
      <c r="AC33" s="511"/>
      <c r="AD33" s="511"/>
      <c r="AE33" s="511"/>
      <c r="AF33" s="511"/>
    </row>
    <row r="34" spans="1:32" s="8" customFormat="1" ht="16" customHeight="1" x14ac:dyDescent="0.3">
      <c r="B34" s="114"/>
      <c r="C34" s="34"/>
      <c r="D34" s="170"/>
      <c r="E34" s="304">
        <f t="shared" si="0"/>
        <v>44587</v>
      </c>
      <c r="F34" s="300"/>
      <c r="G34" s="476"/>
      <c r="H34" s="327">
        <f t="shared" si="1"/>
        <v>44618</v>
      </c>
      <c r="I34" s="450"/>
      <c r="J34" s="473"/>
      <c r="K34" s="122"/>
      <c r="L34" s="37"/>
      <c r="M34" s="67"/>
      <c r="N34" s="35"/>
      <c r="O34" s="56"/>
      <c r="P34" s="42" t="s">
        <v>32</v>
      </c>
      <c r="Q34" s="42"/>
      <c r="R34" s="49"/>
      <c r="S34" s="183">
        <f>+ROUNDUP((S32-S33)*0.4,-3)</f>
        <v>0</v>
      </c>
      <c r="T34" s="614"/>
      <c r="V34" s="66"/>
      <c r="X34" s="499" t="s">
        <v>163</v>
      </c>
      <c r="Y34" s="511"/>
      <c r="Z34" s="499"/>
      <c r="AA34" s="511"/>
      <c r="AB34" s="511"/>
      <c r="AC34" s="511"/>
      <c r="AD34" s="511"/>
      <c r="AE34" s="511"/>
      <c r="AF34" s="511"/>
    </row>
    <row r="35" spans="1:32" s="8" customFormat="1" ht="16" customHeight="1" x14ac:dyDescent="0.3">
      <c r="B35" s="114"/>
      <c r="C35" s="34"/>
      <c r="D35" s="170"/>
      <c r="E35" s="304">
        <f t="shared" si="0"/>
        <v>44588</v>
      </c>
      <c r="F35" s="300"/>
      <c r="G35" s="476"/>
      <c r="H35" s="327">
        <f t="shared" si="1"/>
        <v>44619</v>
      </c>
      <c r="I35" s="450"/>
      <c r="J35" s="473"/>
      <c r="K35" s="122"/>
      <c r="L35" s="37"/>
      <c r="M35" s="67"/>
      <c r="N35" s="35"/>
      <c r="O35" s="35"/>
      <c r="P35" s="35"/>
      <c r="Q35" s="35"/>
      <c r="R35" s="61"/>
      <c r="S35" s="184"/>
      <c r="T35" s="60"/>
      <c r="V35" s="66"/>
      <c r="X35" s="516">
        <f>SUM(H6:H12)</f>
        <v>222971</v>
      </c>
      <c r="Y35" s="511"/>
      <c r="Z35" s="499" t="s">
        <v>164</v>
      </c>
      <c r="AA35" s="511"/>
      <c r="AB35" s="511"/>
      <c r="AC35" s="511"/>
      <c r="AD35" s="511"/>
      <c r="AE35" s="511"/>
      <c r="AF35" s="511"/>
    </row>
    <row r="36" spans="1:32" s="8" customFormat="1" ht="16" customHeight="1" x14ac:dyDescent="0.3">
      <c r="B36" s="114"/>
      <c r="C36" s="34"/>
      <c r="D36" s="170"/>
      <c r="E36" s="304">
        <f t="shared" si="0"/>
        <v>44589</v>
      </c>
      <c r="F36" s="300"/>
      <c r="G36" s="476"/>
      <c r="H36" s="327">
        <f t="shared" si="1"/>
        <v>44620</v>
      </c>
      <c r="I36" s="450"/>
      <c r="J36" s="473"/>
      <c r="K36" s="122"/>
      <c r="L36" s="37"/>
      <c r="M36" s="67"/>
      <c r="N36" s="63"/>
      <c r="O36" s="186" t="s">
        <v>157</v>
      </c>
      <c r="P36" s="52"/>
      <c r="Q36" s="52"/>
      <c r="R36" s="53"/>
      <c r="S36" s="183">
        <f>'②-1'!U63</f>
        <v>0</v>
      </c>
      <c r="T36" s="616"/>
      <c r="V36" s="66"/>
      <c r="X36" s="517" t="s">
        <v>171</v>
      </c>
      <c r="Y36" s="511"/>
      <c r="Z36" s="499">
        <f>IF(S4="綾川町・まんのう町・直島町　以外",COUNTIF(P31:P34,"○"),0)</f>
        <v>0</v>
      </c>
      <c r="AA36" s="511"/>
      <c r="AB36" s="511"/>
      <c r="AC36" s="511"/>
      <c r="AD36" s="511"/>
      <c r="AE36" s="511"/>
      <c r="AF36" s="511"/>
    </row>
    <row r="37" spans="1:32" s="8" customFormat="1" ht="16" customHeight="1" x14ac:dyDescent="0.3">
      <c r="B37" s="114"/>
      <c r="C37" s="34"/>
      <c r="D37" s="170"/>
      <c r="E37" s="304">
        <f t="shared" si="0"/>
        <v>44590</v>
      </c>
      <c r="F37" s="300"/>
      <c r="G37" s="476"/>
      <c r="H37" s="426" t="str">
        <f>IF(H36="","",IF(DAY(H36+1)=1,"",H36+1))</f>
        <v/>
      </c>
      <c r="I37" s="424"/>
      <c r="J37" s="422"/>
      <c r="K37" s="122"/>
      <c r="L37" s="37"/>
      <c r="M37" s="67"/>
      <c r="N37" s="35"/>
      <c r="O37" s="54"/>
      <c r="P37" s="35" t="s">
        <v>124</v>
      </c>
      <c r="Q37" s="35"/>
      <c r="R37" s="55"/>
      <c r="S37" s="183">
        <f>J60</f>
        <v>0</v>
      </c>
      <c r="T37" s="617"/>
      <c r="V37" s="66"/>
      <c r="X37" s="518" t="e">
        <f>X33+X35</f>
        <v>#REF!</v>
      </c>
      <c r="Y37" s="511"/>
      <c r="Z37" s="499"/>
      <c r="AA37" s="511"/>
      <c r="AB37" s="511"/>
      <c r="AC37" s="511"/>
      <c r="AD37" s="511"/>
      <c r="AE37" s="511"/>
      <c r="AF37" s="511"/>
    </row>
    <row r="38" spans="1:32" s="8" customFormat="1" ht="16" customHeight="1" x14ac:dyDescent="0.3">
      <c r="B38" s="114"/>
      <c r="C38" s="34"/>
      <c r="D38" s="170"/>
      <c r="E38" s="304">
        <f t="shared" si="0"/>
        <v>44591</v>
      </c>
      <c r="F38" s="300"/>
      <c r="G38" s="476"/>
      <c r="H38" s="427" t="str">
        <f>IF(H37="","",IF(DAY(H37+1)=1,"",H37+1))</f>
        <v/>
      </c>
      <c r="I38" s="425"/>
      <c r="J38" s="188"/>
      <c r="K38" s="122"/>
      <c r="L38" s="37"/>
      <c r="M38" s="67"/>
      <c r="N38" s="35"/>
      <c r="O38" s="54"/>
      <c r="P38" s="35" t="s">
        <v>33</v>
      </c>
      <c r="Q38" s="35"/>
      <c r="R38" s="55"/>
      <c r="S38" s="264">
        <f>+ROUNDUP((S36-S37)*0.4,-3)</f>
        <v>0</v>
      </c>
      <c r="T38" s="618"/>
      <c r="V38" s="66"/>
      <c r="X38" s="517" t="s">
        <v>165</v>
      </c>
      <c r="Y38" s="511"/>
      <c r="Z38" s="499" t="s">
        <v>163</v>
      </c>
      <c r="AA38" s="511"/>
      <c r="AB38" s="511"/>
      <c r="AC38" s="511"/>
      <c r="AD38" s="511"/>
      <c r="AE38" s="511"/>
      <c r="AF38" s="511"/>
    </row>
    <row r="39" spans="1:32" s="8" customFormat="1" ht="16" customHeight="1" thickBot="1" x14ac:dyDescent="0.35">
      <c r="B39" s="114"/>
      <c r="C39" s="34"/>
      <c r="D39" s="34"/>
      <c r="E39" s="305">
        <f>IF(E38="","",IF(DAY(E38+1)=1,"",E38+1))</f>
        <v>44592</v>
      </c>
      <c r="F39" s="306"/>
      <c r="G39" s="478"/>
      <c r="H39" s="427" t="str">
        <f t="shared" ref="H39" si="2">IF(H37="","",IF(DAY(H37+1)=1,"",H37+1))</f>
        <v/>
      </c>
      <c r="I39" s="425"/>
      <c r="J39" s="188"/>
      <c r="K39" s="122"/>
      <c r="L39" s="37"/>
      <c r="M39" s="68"/>
      <c r="N39" s="42"/>
      <c r="O39" s="257"/>
      <c r="P39" s="257"/>
      <c r="Q39" s="257"/>
      <c r="R39" s="260"/>
      <c r="S39" s="261"/>
      <c r="T39" s="262"/>
      <c r="U39" s="71"/>
      <c r="V39" s="72"/>
      <c r="X39" s="499" t="e">
        <f>IF(#REF!="直島町",0,1)</f>
        <v>#REF!</v>
      </c>
      <c r="Y39" s="511"/>
      <c r="Z39" s="507">
        <f>COUNTIF(P37:P43,"○")</f>
        <v>0</v>
      </c>
      <c r="AA39" s="511"/>
      <c r="AB39" s="511"/>
      <c r="AC39" s="511"/>
      <c r="AD39" s="511"/>
      <c r="AE39" s="511"/>
      <c r="AF39" s="511"/>
    </row>
    <row r="40" spans="1:32" ht="6" customHeight="1" thickTop="1" thickBot="1" x14ac:dyDescent="0.35">
      <c r="A40" s="123"/>
      <c r="B40" s="201"/>
      <c r="C40" s="202"/>
      <c r="D40" s="202"/>
      <c r="E40" s="202"/>
      <c r="F40" s="202"/>
      <c r="G40" s="202"/>
      <c r="H40" s="202"/>
      <c r="I40" s="202"/>
      <c r="J40" s="202"/>
      <c r="K40" s="203"/>
      <c r="L40" s="37"/>
      <c r="M40" s="263"/>
      <c r="N40" s="52"/>
      <c r="O40" s="52"/>
      <c r="P40" s="52"/>
      <c r="Q40" s="52"/>
      <c r="R40" s="86"/>
      <c r="S40" s="258"/>
      <c r="T40" s="259"/>
      <c r="U40" s="89"/>
      <c r="V40" s="89"/>
      <c r="W40" s="8"/>
      <c r="X40" s="499" t="e">
        <f>X37*X39</f>
        <v>#REF!</v>
      </c>
      <c r="Y40" s="499"/>
      <c r="Z40" s="506" t="s">
        <v>171</v>
      </c>
      <c r="AA40" s="499"/>
      <c r="AB40" s="504"/>
      <c r="AC40" s="499"/>
      <c r="AD40" s="499"/>
      <c r="AE40" s="499"/>
      <c r="AF40" s="499"/>
    </row>
    <row r="41" spans="1:32" s="27" customFormat="1" ht="16" customHeight="1" thickTop="1" x14ac:dyDescent="0.3">
      <c r="A41" s="99"/>
      <c r="B41" s="120"/>
      <c r="C41" s="146" t="s">
        <v>18</v>
      </c>
      <c r="D41" s="12"/>
      <c r="E41" s="12"/>
      <c r="F41" s="12"/>
      <c r="G41" s="28"/>
      <c r="H41" s="12"/>
      <c r="I41" s="12"/>
      <c r="J41" s="28"/>
      <c r="K41" s="121"/>
      <c r="L41" s="11"/>
      <c r="M41" s="85"/>
      <c r="N41" s="468" t="s">
        <v>92</v>
      </c>
      <c r="O41" s="95"/>
      <c r="P41" s="52"/>
      <c r="Q41" s="52"/>
      <c r="R41" s="86"/>
      <c r="S41" s="87"/>
      <c r="T41" s="88"/>
      <c r="U41" s="8"/>
      <c r="V41" s="65"/>
      <c r="W41" s="1"/>
      <c r="X41" s="514"/>
      <c r="Y41" s="503"/>
      <c r="Z41" s="512">
        <f>Z36+Z39</f>
        <v>0</v>
      </c>
      <c r="AA41" s="503"/>
      <c r="AB41" s="503"/>
      <c r="AC41" s="503"/>
      <c r="AD41" s="503"/>
      <c r="AE41" s="503"/>
      <c r="AF41" s="503"/>
    </row>
    <row r="42" spans="1:32" s="8" customFormat="1" ht="16" customHeight="1" x14ac:dyDescent="0.3">
      <c r="B42" s="114"/>
      <c r="C42" s="12" t="s">
        <v>5</v>
      </c>
      <c r="D42" s="12"/>
      <c r="E42" s="12"/>
      <c r="F42" s="12"/>
      <c r="G42" s="28"/>
      <c r="H42" s="12"/>
      <c r="I42" s="12"/>
      <c r="J42" s="28"/>
      <c r="K42" s="121"/>
      <c r="L42" s="28"/>
      <c r="M42" s="67"/>
      <c r="N42" s="606" t="s">
        <v>194</v>
      </c>
      <c r="O42" s="607"/>
      <c r="P42" s="607"/>
      <c r="Q42" s="607"/>
      <c r="R42" s="607"/>
      <c r="S42" s="607"/>
      <c r="T42" s="607"/>
      <c r="V42" s="66"/>
      <c r="X42" s="514"/>
      <c r="Y42" s="511"/>
      <c r="Z42" s="506" t="s">
        <v>165</v>
      </c>
      <c r="AA42" s="511"/>
      <c r="AB42" s="511"/>
      <c r="AC42" s="511"/>
      <c r="AD42" s="511"/>
      <c r="AE42" s="511"/>
      <c r="AF42" s="511"/>
    </row>
    <row r="43" spans="1:32" ht="16" customHeight="1" x14ac:dyDescent="0.3">
      <c r="B43" s="110"/>
      <c r="C43" s="11" t="s">
        <v>114</v>
      </c>
      <c r="D43" s="11"/>
      <c r="E43" s="11"/>
      <c r="F43" s="11"/>
      <c r="G43" s="32"/>
      <c r="H43" s="11"/>
      <c r="I43" s="11"/>
      <c r="J43" s="32"/>
      <c r="K43" s="191"/>
      <c r="L43" s="32"/>
      <c r="M43" s="67"/>
      <c r="N43" s="607"/>
      <c r="O43" s="607"/>
      <c r="P43" s="607"/>
      <c r="Q43" s="607"/>
      <c r="R43" s="607"/>
      <c r="S43" s="607"/>
      <c r="T43" s="607"/>
      <c r="U43" s="8"/>
      <c r="V43" s="66"/>
      <c r="X43" s="514"/>
      <c r="Y43" s="499"/>
      <c r="Z43" s="499">
        <f>IF(T4="直島町",0,1)</f>
        <v>1</v>
      </c>
      <c r="AA43" s="499"/>
      <c r="AB43" s="499"/>
      <c r="AC43" s="499"/>
      <c r="AD43" s="499"/>
      <c r="AE43" s="499"/>
      <c r="AF43" s="499"/>
    </row>
    <row r="44" spans="1:32" s="8" customFormat="1" ht="16" customHeight="1" x14ac:dyDescent="0.3">
      <c r="B44" s="114"/>
      <c r="E44" s="103" t="s">
        <v>67</v>
      </c>
      <c r="F44" s="12"/>
      <c r="G44" s="28"/>
      <c r="H44" s="12"/>
      <c r="I44" s="12"/>
      <c r="J44" s="28"/>
      <c r="K44" s="119"/>
      <c r="L44" s="58"/>
      <c r="M44" s="67"/>
      <c r="N44" s="607"/>
      <c r="O44" s="607"/>
      <c r="P44" s="607"/>
      <c r="Q44" s="607"/>
      <c r="R44" s="607"/>
      <c r="S44" s="607"/>
      <c r="T44" s="607"/>
      <c r="V44" s="66"/>
      <c r="X44" s="514"/>
      <c r="Y44" s="511"/>
      <c r="Z44" s="513">
        <f>Z41*Z43</f>
        <v>0</v>
      </c>
      <c r="AA44" s="511"/>
      <c r="AB44" s="511"/>
      <c r="AC44" s="511"/>
      <c r="AD44" s="511"/>
      <c r="AE44" s="511"/>
      <c r="AF44" s="511"/>
    </row>
    <row r="45" spans="1:32" s="8" customFormat="1" ht="16" customHeight="1" x14ac:dyDescent="0.3">
      <c r="B45" s="114"/>
      <c r="C45" s="615"/>
      <c r="D45" s="615"/>
      <c r="E45" s="605" t="s">
        <v>83</v>
      </c>
      <c r="F45" s="605"/>
      <c r="G45" s="526">
        <f>SUM(G9:G39)*X16</f>
        <v>0</v>
      </c>
      <c r="H45" s="605" t="s">
        <v>62</v>
      </c>
      <c r="I45" s="605"/>
      <c r="J45" s="526">
        <f>SUM(J9:J36)</f>
        <v>0</v>
      </c>
      <c r="K45" s="119"/>
      <c r="L45" s="58"/>
      <c r="M45" s="67"/>
      <c r="N45" s="63" t="s">
        <v>94</v>
      </c>
      <c r="O45" s="374" t="s">
        <v>93</v>
      </c>
      <c r="P45" s="257"/>
      <c r="Q45" s="257"/>
      <c r="R45" s="365"/>
      <c r="S45" s="366">
        <v>200000</v>
      </c>
      <c r="T45" s="348"/>
      <c r="V45" s="66"/>
      <c r="X45" s="501"/>
      <c r="Y45" s="511"/>
      <c r="Z45" s="499"/>
      <c r="AA45" s="511"/>
      <c r="AB45" s="511"/>
      <c r="AC45" s="511"/>
      <c r="AD45" s="511"/>
      <c r="AE45" s="511"/>
      <c r="AF45" s="511"/>
    </row>
    <row r="46" spans="1:32" s="27" customFormat="1" ht="16" customHeight="1" x14ac:dyDescent="0.3">
      <c r="B46" s="120"/>
      <c r="C46" s="619"/>
      <c r="D46" s="619"/>
      <c r="E46" s="574" t="s">
        <v>84</v>
      </c>
      <c r="F46" s="574"/>
      <c r="G46" s="494">
        <f>(31-G47)*X28</f>
        <v>31</v>
      </c>
      <c r="H46" s="574" t="s">
        <v>86</v>
      </c>
      <c r="I46" s="574"/>
      <c r="J46" s="494">
        <f>28-J47</f>
        <v>28</v>
      </c>
      <c r="K46" s="121"/>
      <c r="L46" s="28"/>
      <c r="M46" s="67"/>
      <c r="N46" s="63"/>
      <c r="O46" s="160"/>
      <c r="P46" s="35"/>
      <c r="Q46" s="35"/>
      <c r="R46" s="61"/>
      <c r="S46" s="185"/>
      <c r="T46" s="349"/>
      <c r="U46" s="8"/>
      <c r="V46" s="66"/>
      <c r="X46" s="520"/>
      <c r="Y46" s="503"/>
      <c r="Z46" s="503"/>
      <c r="AA46" s="503"/>
      <c r="AB46" s="503"/>
      <c r="AC46" s="503"/>
      <c r="AD46" s="503"/>
      <c r="AE46" s="503"/>
      <c r="AF46" s="503"/>
    </row>
    <row r="47" spans="1:32" s="8" customFormat="1" ht="16" customHeight="1" x14ac:dyDescent="0.3">
      <c r="B47" s="114"/>
      <c r="C47" s="619"/>
      <c r="D47" s="619"/>
      <c r="E47" s="574" t="s">
        <v>85</v>
      </c>
      <c r="F47" s="574"/>
      <c r="G47" s="494">
        <f>COUNTIF(F9:F39,"○")*X16</f>
        <v>0</v>
      </c>
      <c r="H47" s="574" t="s">
        <v>87</v>
      </c>
      <c r="I47" s="574"/>
      <c r="J47" s="494">
        <f>COUNTIF(I9:I36,"○")</f>
        <v>0</v>
      </c>
      <c r="K47" s="122"/>
      <c r="L47" s="37"/>
      <c r="M47" s="67"/>
      <c r="N47" s="186"/>
      <c r="O47" s="52"/>
      <c r="P47" s="52"/>
      <c r="Q47" s="52"/>
      <c r="R47" s="86"/>
      <c r="S47" s="89"/>
      <c r="T47" s="159" t="s">
        <v>11</v>
      </c>
      <c r="U47" s="65"/>
      <c r="V47" s="66"/>
      <c r="X47" s="501"/>
      <c r="Y47" s="511"/>
      <c r="Z47" s="499"/>
      <c r="AA47" s="511"/>
      <c r="AB47" s="511"/>
      <c r="AC47" s="511"/>
      <c r="AD47" s="511"/>
      <c r="AE47" s="511"/>
      <c r="AF47" s="511"/>
    </row>
    <row r="48" spans="1:32" ht="16" customHeight="1" x14ac:dyDescent="0.3">
      <c r="B48" s="110"/>
      <c r="C48" s="309"/>
      <c r="D48" s="309"/>
      <c r="E48" s="620" t="s">
        <v>88</v>
      </c>
      <c r="F48" s="573"/>
      <c r="G48" s="573"/>
      <c r="H48" s="573"/>
      <c r="I48" s="573"/>
      <c r="J48" s="527">
        <f>G45+J45</f>
        <v>0</v>
      </c>
      <c r="K48" s="122"/>
      <c r="L48" s="37"/>
      <c r="M48" s="67"/>
      <c r="N48" s="54" t="s">
        <v>95</v>
      </c>
      <c r="O48" s="186" t="s">
        <v>120</v>
      </c>
      <c r="P48" s="50"/>
      <c r="Q48" s="43"/>
      <c r="R48" s="44"/>
      <c r="S48" s="183">
        <f>'②-1'!J53</f>
        <v>0</v>
      </c>
      <c r="T48" s="621"/>
      <c r="U48" s="66"/>
      <c r="V48" s="66"/>
      <c r="X48" s="522"/>
      <c r="Y48" s="499"/>
      <c r="Z48" s="511" t="s">
        <v>181</v>
      </c>
      <c r="AA48" s="499"/>
      <c r="AB48" s="499"/>
      <c r="AC48" s="499"/>
      <c r="AD48" s="499"/>
      <c r="AE48" s="499"/>
      <c r="AF48" s="499"/>
    </row>
    <row r="49" spans="1:32" ht="16" customHeight="1" x14ac:dyDescent="0.3">
      <c r="B49" s="110"/>
      <c r="C49" s="309"/>
      <c r="D49" s="309"/>
      <c r="E49" s="620" t="s">
        <v>148</v>
      </c>
      <c r="F49" s="573"/>
      <c r="G49" s="573"/>
      <c r="H49" s="573"/>
      <c r="I49" s="573"/>
      <c r="J49" s="527">
        <f>G46+J46</f>
        <v>59</v>
      </c>
      <c r="K49" s="122"/>
      <c r="L49" s="37"/>
      <c r="M49" s="67"/>
      <c r="N49" s="51"/>
      <c r="O49" s="48"/>
      <c r="P49" s="42" t="s">
        <v>168</v>
      </c>
      <c r="Q49" s="42"/>
      <c r="R49" s="49"/>
      <c r="S49" s="183">
        <f>+ROUNDUP((S48)*0.3,-3)</f>
        <v>0</v>
      </c>
      <c r="T49" s="580"/>
      <c r="U49" s="66"/>
      <c r="V49" s="66"/>
      <c r="X49" s="499"/>
      <c r="Y49" s="499"/>
      <c r="Z49" s="499" t="s">
        <v>165</v>
      </c>
      <c r="AA49" s="499"/>
      <c r="AB49" s="499"/>
      <c r="AC49" s="499"/>
      <c r="AD49" s="499"/>
      <c r="AE49" s="499"/>
      <c r="AF49" s="499"/>
    </row>
    <row r="50" spans="1:32" ht="16" customHeight="1" x14ac:dyDescent="0.3">
      <c r="B50" s="110"/>
      <c r="C50" s="309"/>
      <c r="D50" s="309"/>
      <c r="E50" s="620" t="s">
        <v>89</v>
      </c>
      <c r="F50" s="573"/>
      <c r="G50" s="573"/>
      <c r="H50" s="573"/>
      <c r="I50" s="573"/>
      <c r="J50" s="527">
        <f>ROUNDUP(J48/J49,0)</f>
        <v>0</v>
      </c>
      <c r="K50" s="180" t="s">
        <v>96</v>
      </c>
      <c r="L50" s="37"/>
      <c r="M50" s="67"/>
      <c r="N50" s="54"/>
      <c r="O50" s="35"/>
      <c r="P50" s="35"/>
      <c r="Q50" s="35"/>
      <c r="R50" s="61" t="s">
        <v>7</v>
      </c>
      <c r="S50" s="184"/>
      <c r="T50" s="60"/>
      <c r="U50" s="66"/>
      <c r="V50" s="66"/>
      <c r="X50" s="517"/>
      <c r="Y50" s="499"/>
      <c r="Z50" s="499">
        <f>IF(S4="直島町",COUNTIF(S11,"○"),0)</f>
        <v>0</v>
      </c>
      <c r="AA50" s="499"/>
      <c r="AB50" s="499"/>
      <c r="AC50" s="499"/>
      <c r="AD50" s="499"/>
      <c r="AE50" s="499"/>
      <c r="AF50" s="499"/>
    </row>
    <row r="51" spans="1:32" ht="16" customHeight="1" thickBot="1" x14ac:dyDescent="0.35">
      <c r="B51" s="175"/>
      <c r="C51" s="39"/>
      <c r="D51" s="39"/>
      <c r="E51" s="39"/>
      <c r="F51" s="39"/>
      <c r="G51" s="40"/>
      <c r="H51" s="39"/>
      <c r="I51" s="39"/>
      <c r="J51" s="40" t="s">
        <v>8</v>
      </c>
      <c r="K51" s="200"/>
      <c r="L51" s="37"/>
      <c r="M51" s="67"/>
      <c r="N51" s="54"/>
      <c r="O51" s="186" t="s">
        <v>121</v>
      </c>
      <c r="P51" s="52"/>
      <c r="Q51" s="52"/>
      <c r="R51" s="53"/>
      <c r="S51" s="183">
        <f>'②-1'!U53</f>
        <v>0</v>
      </c>
      <c r="T51" s="621"/>
      <c r="U51" s="66"/>
      <c r="V51" s="66"/>
      <c r="X51" s="522"/>
      <c r="Y51" s="499"/>
      <c r="Z51" s="499"/>
      <c r="AA51" s="499"/>
      <c r="AB51" s="499"/>
      <c r="AC51" s="499"/>
      <c r="AD51" s="499"/>
      <c r="AE51" s="499"/>
      <c r="AF51" s="499"/>
    </row>
    <row r="52" spans="1:32" ht="16" customHeight="1" x14ac:dyDescent="0.3">
      <c r="B52" s="110"/>
      <c r="C52" s="11" t="s">
        <v>6</v>
      </c>
      <c r="D52" s="11"/>
      <c r="E52" s="11"/>
      <c r="F52" s="11"/>
      <c r="G52" s="11"/>
      <c r="H52" s="11"/>
      <c r="I52" s="11"/>
      <c r="J52" s="11"/>
      <c r="K52" s="123"/>
      <c r="L52" s="37"/>
      <c r="M52" s="67"/>
      <c r="N52" s="51"/>
      <c r="O52" s="56"/>
      <c r="P52" s="42" t="s">
        <v>168</v>
      </c>
      <c r="Q52" s="42"/>
      <c r="R52" s="49"/>
      <c r="S52" s="183">
        <f>+ROUNDUP((S51)*0.3,-3)</f>
        <v>0</v>
      </c>
      <c r="T52" s="580"/>
      <c r="U52" s="66"/>
      <c r="V52" s="66"/>
      <c r="X52" s="522"/>
      <c r="Y52" s="499"/>
      <c r="Z52" s="499" t="s">
        <v>172</v>
      </c>
      <c r="AA52" s="499"/>
      <c r="AB52" s="499"/>
      <c r="AC52" s="499"/>
      <c r="AD52" s="499"/>
      <c r="AE52" s="499"/>
      <c r="AF52" s="499"/>
    </row>
    <row r="53" spans="1:32" ht="32" customHeight="1" x14ac:dyDescent="0.3">
      <c r="B53" s="110"/>
      <c r="C53" s="575" t="s">
        <v>138</v>
      </c>
      <c r="D53" s="576"/>
      <c r="E53" s="576"/>
      <c r="F53" s="576"/>
      <c r="G53" s="576"/>
      <c r="H53" s="576"/>
      <c r="I53" s="576"/>
      <c r="J53" s="576"/>
      <c r="K53" s="191"/>
      <c r="L53" s="59"/>
      <c r="M53" s="67"/>
      <c r="N53" s="54"/>
      <c r="O53" s="35"/>
      <c r="P53" s="35"/>
      <c r="Q53" s="35"/>
      <c r="R53" s="61"/>
      <c r="S53" s="184"/>
      <c r="T53" s="60"/>
      <c r="U53" s="66"/>
      <c r="V53" s="66"/>
      <c r="X53" s="522"/>
      <c r="Y53" s="499"/>
      <c r="Z53" s="507">
        <f>COUNTIF(S12:S23,"○")</f>
        <v>0</v>
      </c>
      <c r="AA53" s="499"/>
      <c r="AB53" s="499"/>
      <c r="AC53" s="499"/>
      <c r="AD53" s="499"/>
      <c r="AE53" s="499"/>
      <c r="AF53" s="499"/>
    </row>
    <row r="54" spans="1:32" ht="16" customHeight="1" thickBot="1" x14ac:dyDescent="0.35">
      <c r="B54" s="110"/>
      <c r="D54" s="11"/>
      <c r="E54" s="103" t="s">
        <v>127</v>
      </c>
      <c r="F54" s="11"/>
      <c r="G54" s="32"/>
      <c r="H54" s="11"/>
      <c r="I54" s="11"/>
      <c r="J54" s="32"/>
      <c r="K54" s="191"/>
      <c r="L54" s="11"/>
      <c r="M54" s="67"/>
      <c r="N54" s="54"/>
      <c r="O54" s="186" t="s">
        <v>123</v>
      </c>
      <c r="P54" s="52"/>
      <c r="Q54" s="52"/>
      <c r="R54" s="53"/>
      <c r="S54" s="183">
        <f>'②-1'!J63</f>
        <v>0</v>
      </c>
      <c r="T54" s="626"/>
      <c r="U54" s="66"/>
      <c r="V54" s="66"/>
      <c r="X54" s="501"/>
      <c r="Y54" s="499"/>
      <c r="Z54" s="506" t="s">
        <v>171</v>
      </c>
      <c r="AA54" s="499"/>
      <c r="AB54" s="499"/>
      <c r="AC54" s="499"/>
      <c r="AD54" s="499"/>
      <c r="AE54" s="499"/>
      <c r="AF54" s="499"/>
    </row>
    <row r="55" spans="1:32" ht="16" customHeight="1" thickBot="1" x14ac:dyDescent="0.35">
      <c r="B55" s="110"/>
      <c r="C55" s="181"/>
      <c r="D55" s="181"/>
      <c r="E55" s="605" t="s">
        <v>130</v>
      </c>
      <c r="F55" s="605"/>
      <c r="G55" s="493">
        <f>X71</f>
        <v>0</v>
      </c>
      <c r="H55" s="605" t="s">
        <v>71</v>
      </c>
      <c r="I55" s="605"/>
      <c r="J55" s="493">
        <f>Z68</f>
        <v>0</v>
      </c>
      <c r="K55" s="122"/>
      <c r="L55" s="11"/>
      <c r="M55" s="67"/>
      <c r="N55" s="51"/>
      <c r="O55" s="56"/>
      <c r="P55" s="42" t="s">
        <v>168</v>
      </c>
      <c r="Q55" s="42"/>
      <c r="R55" s="49"/>
      <c r="S55" s="183">
        <f>+ROUNDUP((S54)*0.3,-3)</f>
        <v>0</v>
      </c>
      <c r="T55" s="627"/>
      <c r="U55" s="66"/>
      <c r="V55" s="66"/>
      <c r="X55" s="499"/>
      <c r="Y55" s="499"/>
      <c r="Z55" s="512">
        <f>Z50+Z53</f>
        <v>0</v>
      </c>
      <c r="AA55" s="499"/>
      <c r="AB55" s="499"/>
      <c r="AC55" s="499"/>
      <c r="AD55" s="499"/>
      <c r="AE55" s="499"/>
      <c r="AF55" s="499"/>
    </row>
    <row r="56" spans="1:32" ht="16" customHeight="1" x14ac:dyDescent="0.3">
      <c r="A56" s="8"/>
      <c r="B56" s="114"/>
      <c r="C56" s="619"/>
      <c r="D56" s="619"/>
      <c r="E56" s="574" t="s">
        <v>84</v>
      </c>
      <c r="F56" s="574"/>
      <c r="G56" s="528">
        <f>X29-G57</f>
        <v>7</v>
      </c>
      <c r="H56" s="574" t="s">
        <v>86</v>
      </c>
      <c r="I56" s="574"/>
      <c r="J56" s="528">
        <f>Z22-J57</f>
        <v>13</v>
      </c>
      <c r="K56" s="119"/>
      <c r="L56" s="32"/>
      <c r="M56" s="67"/>
      <c r="N56" s="54"/>
      <c r="O56" s="35"/>
      <c r="P56" s="35"/>
      <c r="Q56" s="35"/>
      <c r="R56" s="61"/>
      <c r="S56" s="184"/>
      <c r="T56" s="60"/>
      <c r="U56" s="66"/>
      <c r="V56" s="66"/>
      <c r="X56" s="499"/>
      <c r="Y56" s="499"/>
      <c r="Z56" s="499"/>
      <c r="AA56" s="499"/>
      <c r="AB56" s="499"/>
      <c r="AC56" s="499"/>
      <c r="AD56" s="499"/>
      <c r="AE56" s="499"/>
      <c r="AF56" s="499"/>
    </row>
    <row r="57" spans="1:32" s="8" customFormat="1" ht="16" customHeight="1" x14ac:dyDescent="0.3">
      <c r="B57" s="114"/>
      <c r="C57" s="619"/>
      <c r="D57" s="619"/>
      <c r="E57" s="574" t="s">
        <v>85</v>
      </c>
      <c r="F57" s="574"/>
      <c r="G57" s="495">
        <f>X17</f>
        <v>0</v>
      </c>
      <c r="H57" s="574" t="s">
        <v>87</v>
      </c>
      <c r="I57" s="574"/>
      <c r="J57" s="495">
        <f>Z31</f>
        <v>0</v>
      </c>
      <c r="K57" s="119"/>
      <c r="L57" s="58"/>
      <c r="M57" s="67"/>
      <c r="N57" s="54"/>
      <c r="O57" s="186" t="s">
        <v>157</v>
      </c>
      <c r="P57" s="52"/>
      <c r="Q57" s="52"/>
      <c r="R57" s="53"/>
      <c r="S57" s="183">
        <f>'②-1'!U63</f>
        <v>0</v>
      </c>
      <c r="T57" s="621"/>
      <c r="U57" s="66"/>
      <c r="V57" s="66"/>
      <c r="X57" s="499"/>
      <c r="Y57" s="511"/>
      <c r="Z57" s="499"/>
      <c r="AA57" s="511"/>
      <c r="AB57" s="511"/>
      <c r="AC57" s="511"/>
      <c r="AD57" s="511"/>
      <c r="AE57" s="511"/>
      <c r="AF57" s="511"/>
    </row>
    <row r="58" spans="1:32" ht="16" customHeight="1" x14ac:dyDescent="0.3">
      <c r="B58" s="110"/>
      <c r="C58" s="309"/>
      <c r="D58" s="309"/>
      <c r="E58" s="620" t="s">
        <v>137</v>
      </c>
      <c r="F58" s="573"/>
      <c r="G58" s="573"/>
      <c r="H58" s="573"/>
      <c r="I58" s="573"/>
      <c r="J58" s="527">
        <f>G55+J55</f>
        <v>0</v>
      </c>
      <c r="K58" s="122"/>
      <c r="L58" s="37"/>
      <c r="M58" s="67"/>
      <c r="N58" s="54"/>
      <c r="O58" s="54"/>
      <c r="P58" s="42" t="s">
        <v>168</v>
      </c>
      <c r="Q58" s="35"/>
      <c r="R58" s="55"/>
      <c r="S58" s="264">
        <f>+ROUNDUP((S57)*0.3,-3)</f>
        <v>0</v>
      </c>
      <c r="T58" s="580"/>
      <c r="U58" s="367"/>
      <c r="V58" s="367"/>
      <c r="X58" s="499"/>
      <c r="Y58" s="499"/>
      <c r="Z58" s="499"/>
      <c r="AA58" s="499"/>
      <c r="AB58" s="499"/>
      <c r="AC58" s="499"/>
      <c r="AD58" s="499"/>
      <c r="AE58" s="499"/>
      <c r="AF58" s="499"/>
    </row>
    <row r="59" spans="1:32" ht="16" customHeight="1" x14ac:dyDescent="0.3">
      <c r="B59" s="110"/>
      <c r="C59" s="309"/>
      <c r="D59" s="309"/>
      <c r="E59" s="620" t="s">
        <v>149</v>
      </c>
      <c r="F59" s="573"/>
      <c r="G59" s="573"/>
      <c r="H59" s="573"/>
      <c r="I59" s="573"/>
      <c r="J59" s="527">
        <f>G56+J56</f>
        <v>20</v>
      </c>
      <c r="K59" s="122"/>
      <c r="L59" s="37"/>
      <c r="M59" s="372"/>
      <c r="N59" s="368"/>
      <c r="O59" s="257"/>
      <c r="P59" s="257"/>
      <c r="Q59" s="257"/>
      <c r="R59" s="260"/>
      <c r="S59" s="261"/>
      <c r="T59" s="262"/>
      <c r="U59" s="72"/>
      <c r="V59" s="371"/>
      <c r="X59" s="518">
        <f>SUM(H33:H36)</f>
        <v>178474</v>
      </c>
      <c r="Y59" s="499"/>
      <c r="Z59" s="499"/>
      <c r="AA59" s="499"/>
      <c r="AB59" s="499"/>
      <c r="AC59" s="499"/>
      <c r="AD59" s="499"/>
      <c r="AE59" s="499"/>
      <c r="AF59" s="499"/>
    </row>
    <row r="60" spans="1:32" s="8" customFormat="1" ht="16" customHeight="1" x14ac:dyDescent="0.3">
      <c r="A60" s="1"/>
      <c r="B60" s="110"/>
      <c r="C60" s="309"/>
      <c r="D60" s="309"/>
      <c r="E60" s="620" t="s">
        <v>89</v>
      </c>
      <c r="F60" s="573"/>
      <c r="G60" s="573"/>
      <c r="H60" s="573"/>
      <c r="I60" s="573"/>
      <c r="J60" s="527">
        <f>ROUNDUP(J58/J59,0)</f>
        <v>0</v>
      </c>
      <c r="K60" s="180" t="s">
        <v>97</v>
      </c>
      <c r="L60" s="58"/>
      <c r="M60" s="68"/>
      <c r="N60" s="361"/>
      <c r="O60" s="257"/>
      <c r="P60" s="369"/>
      <c r="Q60" s="369"/>
      <c r="R60" s="370"/>
      <c r="S60" s="261"/>
      <c r="T60" s="361"/>
      <c r="U60" s="361"/>
      <c r="V60" s="72"/>
      <c r="X60" s="499"/>
      <c r="Y60" s="511"/>
      <c r="Z60" s="499"/>
      <c r="AA60" s="511"/>
      <c r="AB60" s="511"/>
      <c r="AC60" s="511"/>
      <c r="AD60" s="511"/>
      <c r="AE60" s="511"/>
      <c r="AF60" s="511"/>
    </row>
    <row r="61" spans="1:32" ht="16" customHeight="1" thickBot="1" x14ac:dyDescent="0.35">
      <c r="A61" s="8"/>
      <c r="B61" s="126"/>
      <c r="C61" s="127"/>
      <c r="D61" s="127"/>
      <c r="E61" s="127"/>
      <c r="F61" s="127"/>
      <c r="G61" s="128"/>
      <c r="H61" s="127"/>
      <c r="I61" s="127"/>
      <c r="J61" s="128" t="s">
        <v>8</v>
      </c>
      <c r="K61" s="373"/>
      <c r="L61" s="32"/>
      <c r="M61" s="8"/>
      <c r="N61" s="35"/>
      <c r="O61" s="35"/>
      <c r="P61" s="35" t="s">
        <v>125</v>
      </c>
      <c r="Q61" s="35"/>
      <c r="R61" s="64"/>
      <c r="S61" s="285"/>
      <c r="T61" s="622"/>
      <c r="U61" s="60"/>
      <c r="V61" s="11"/>
      <c r="X61" s="499" t="s">
        <v>173</v>
      </c>
      <c r="Y61" s="499"/>
      <c r="Z61" s="499"/>
      <c r="AA61" s="499"/>
      <c r="AB61" s="499"/>
      <c r="AC61" s="499"/>
      <c r="AD61" s="499"/>
      <c r="AE61" s="499"/>
      <c r="AF61" s="499"/>
    </row>
    <row r="62" spans="1:32" s="8" customFormat="1" ht="13.5" customHeight="1" x14ac:dyDescent="0.3">
      <c r="A62" s="1"/>
      <c r="B62" s="1"/>
      <c r="C62" s="1"/>
      <c r="D62" s="1"/>
      <c r="E62" s="1"/>
      <c r="F62" s="1"/>
      <c r="G62" s="11"/>
      <c r="H62" s="1"/>
      <c r="I62" s="1"/>
      <c r="J62" s="11"/>
      <c r="K62" s="11"/>
      <c r="L62" s="37"/>
      <c r="M62" s="37"/>
      <c r="N62" s="35"/>
      <c r="O62" s="35"/>
      <c r="P62" s="36" t="s">
        <v>126</v>
      </c>
      <c r="Q62" s="36"/>
      <c r="R62" s="161"/>
      <c r="S62" s="285"/>
      <c r="T62" s="623"/>
      <c r="U62" s="11"/>
      <c r="V62" s="11"/>
      <c r="X62" s="499" t="s">
        <v>169</v>
      </c>
      <c r="Y62" s="511"/>
      <c r="Z62" s="499" t="s">
        <v>170</v>
      </c>
      <c r="AA62" s="511"/>
      <c r="AB62" s="511"/>
      <c r="AC62" s="511"/>
      <c r="AD62" s="511"/>
      <c r="AE62" s="511"/>
      <c r="AF62" s="511"/>
    </row>
    <row r="63" spans="1:32" ht="4.5" customHeight="1" x14ac:dyDescent="0.3">
      <c r="G63" s="11"/>
      <c r="J63" s="11"/>
      <c r="K63" s="11"/>
      <c r="L63" s="37"/>
      <c r="M63" s="11"/>
      <c r="O63" s="35"/>
      <c r="P63" s="11"/>
      <c r="Q63" s="11"/>
      <c r="R63" s="64"/>
      <c r="S63" s="11"/>
      <c r="X63" s="499" t="s">
        <v>159</v>
      </c>
      <c r="Y63" s="499"/>
      <c r="Z63" s="517" t="s">
        <v>165</v>
      </c>
      <c r="AA63" s="499"/>
      <c r="AB63" s="499"/>
      <c r="AC63" s="499"/>
      <c r="AD63" s="499"/>
      <c r="AE63" s="499"/>
      <c r="AF63" s="499"/>
    </row>
    <row r="64" spans="1:32" ht="5.5" customHeight="1" x14ac:dyDescent="0.3">
      <c r="L64" s="37"/>
      <c r="M64" s="11"/>
      <c r="P64" s="7"/>
      <c r="Q64" s="7"/>
      <c r="R64" s="17"/>
      <c r="S64" s="8"/>
      <c r="T64" s="8"/>
      <c r="X64" s="499">
        <f>IF(S7="綾川町・まんのう町",0,SUM(G29:G32))</f>
        <v>0</v>
      </c>
      <c r="Y64" s="499"/>
      <c r="Z64" s="499">
        <f>IF(S7="直島町",0,J9)</f>
        <v>0</v>
      </c>
      <c r="AA64" s="499"/>
      <c r="AB64" s="499"/>
      <c r="AC64" s="499"/>
      <c r="AD64" s="499"/>
      <c r="AE64" s="499"/>
      <c r="AF64" s="499"/>
    </row>
    <row r="65" spans="12:32" x14ac:dyDescent="0.3">
      <c r="L65" s="11"/>
      <c r="R65" s="17"/>
      <c r="T65" s="1"/>
      <c r="X65" s="499" t="s">
        <v>163</v>
      </c>
      <c r="Y65" s="499"/>
      <c r="Z65" s="499" t="s">
        <v>172</v>
      </c>
      <c r="AA65" s="499"/>
      <c r="AB65" s="504"/>
      <c r="AC65" s="499"/>
      <c r="AD65" s="499"/>
      <c r="AE65" s="499"/>
      <c r="AF65" s="499"/>
    </row>
    <row r="66" spans="12:32" x14ac:dyDescent="0.3">
      <c r="L66" s="11"/>
      <c r="N66" s="1"/>
      <c r="R66" s="17"/>
      <c r="T66" s="1"/>
      <c r="X66" s="516">
        <f>SUM(G33:G39)</f>
        <v>0</v>
      </c>
      <c r="Y66" s="499"/>
      <c r="Z66" s="516">
        <f>SUM(J10:J21)</f>
        <v>0</v>
      </c>
      <c r="AA66" s="499"/>
      <c r="AB66" s="504"/>
      <c r="AC66" s="499"/>
      <c r="AD66" s="499"/>
      <c r="AE66" s="499"/>
      <c r="AF66" s="499"/>
    </row>
    <row r="67" spans="12:32" x14ac:dyDescent="0.3">
      <c r="N67" s="1"/>
      <c r="S67" s="11"/>
      <c r="T67" s="1"/>
      <c r="X67" s="517" t="s">
        <v>171</v>
      </c>
      <c r="Y67" s="499"/>
      <c r="Z67" s="517" t="s">
        <v>171</v>
      </c>
      <c r="AA67" s="499"/>
      <c r="AB67" s="499"/>
      <c r="AC67" s="504"/>
      <c r="AD67" s="499"/>
      <c r="AE67" s="499"/>
      <c r="AF67" s="499"/>
    </row>
    <row r="68" spans="12:32" x14ac:dyDescent="0.3">
      <c r="N68" s="1"/>
      <c r="O68" s="1"/>
      <c r="S68" s="11"/>
      <c r="T68" s="1"/>
      <c r="X68" s="518">
        <f>X64+X66</f>
        <v>0</v>
      </c>
      <c r="Y68" s="499"/>
      <c r="Z68" s="518">
        <f>Z64+Z66</f>
        <v>0</v>
      </c>
      <c r="AA68" s="499"/>
      <c r="AB68" s="499"/>
      <c r="AC68" s="504"/>
      <c r="AD68" s="499"/>
      <c r="AE68" s="499"/>
      <c r="AF68" s="499"/>
    </row>
    <row r="69" spans="12:32" x14ac:dyDescent="0.3">
      <c r="O69" s="1"/>
      <c r="S69" s="11"/>
      <c r="T69" s="1"/>
      <c r="X69" s="517" t="s">
        <v>165</v>
      </c>
      <c r="Y69" s="499"/>
      <c r="Z69" s="517"/>
      <c r="AA69" s="499"/>
      <c r="AB69" s="499"/>
      <c r="AC69" s="504"/>
      <c r="AD69" s="499"/>
      <c r="AE69" s="499"/>
      <c r="AF69" s="499"/>
    </row>
    <row r="70" spans="12:32" x14ac:dyDescent="0.3">
      <c r="O70" s="1"/>
      <c r="X70" s="499">
        <f>IF(S7="直島町",0,1)</f>
        <v>1</v>
      </c>
      <c r="Y70" s="499"/>
      <c r="Z70" s="499"/>
      <c r="AA70" s="499"/>
      <c r="AB70" s="499"/>
      <c r="AC70" s="504"/>
      <c r="AD70" s="499"/>
      <c r="AE70" s="499"/>
      <c r="AF70" s="499"/>
    </row>
    <row r="71" spans="12:32" x14ac:dyDescent="0.3">
      <c r="X71" s="499">
        <f>X68*X70</f>
        <v>0</v>
      </c>
      <c r="Y71" s="499"/>
      <c r="Z71" s="499"/>
      <c r="AA71" s="499"/>
      <c r="AB71" s="499"/>
      <c r="AC71" s="504"/>
      <c r="AD71" s="499"/>
      <c r="AE71" s="499"/>
      <c r="AF71" s="499"/>
    </row>
    <row r="72" spans="12:32" x14ac:dyDescent="0.3">
      <c r="X72" s="499" t="s">
        <v>174</v>
      </c>
      <c r="Y72" s="499"/>
      <c r="Z72" s="499"/>
      <c r="AA72" s="499"/>
      <c r="AB72" s="499"/>
      <c r="AC72" s="504"/>
      <c r="AD72" s="499"/>
      <c r="AE72" s="499"/>
      <c r="AF72" s="499"/>
    </row>
    <row r="73" spans="12:32" x14ac:dyDescent="0.3">
      <c r="X73" s="499" t="s">
        <v>169</v>
      </c>
      <c r="Y73" s="499"/>
      <c r="Z73" s="499" t="s">
        <v>170</v>
      </c>
      <c r="AA73" s="499"/>
      <c r="AB73" s="499"/>
      <c r="AC73" s="504"/>
      <c r="AD73" s="499"/>
      <c r="AE73" s="499"/>
      <c r="AF73" s="499"/>
    </row>
    <row r="74" spans="12:32" x14ac:dyDescent="0.3">
      <c r="X74" s="499" t="s">
        <v>159</v>
      </c>
      <c r="Y74" s="499"/>
      <c r="Z74" s="517" t="s">
        <v>165</v>
      </c>
      <c r="AA74" s="499"/>
      <c r="AB74" s="499"/>
      <c r="AC74" s="504"/>
      <c r="AD74" s="499"/>
      <c r="AE74" s="499"/>
      <c r="AF74" s="499"/>
    </row>
    <row r="75" spans="12:32" x14ac:dyDescent="0.3">
      <c r="X75" s="499">
        <f>IF(S4="綾川町・まんのう町",0,SUM(Q31:Q34))</f>
        <v>0</v>
      </c>
      <c r="Y75" s="499"/>
      <c r="Z75" s="499">
        <f>IF(S4="直島町",0,T11)</f>
        <v>0</v>
      </c>
      <c r="AA75" s="499"/>
      <c r="AB75" s="499"/>
      <c r="AC75" s="504"/>
      <c r="AD75" s="499"/>
      <c r="AE75" s="499"/>
      <c r="AF75" s="499"/>
    </row>
    <row r="76" spans="12:32" x14ac:dyDescent="0.3">
      <c r="X76" s="499" t="s">
        <v>163</v>
      </c>
      <c r="Y76" s="499"/>
      <c r="Z76" s="499" t="s">
        <v>172</v>
      </c>
      <c r="AA76" s="499"/>
      <c r="AB76" s="499"/>
      <c r="AC76" s="504"/>
      <c r="AD76" s="499"/>
      <c r="AE76" s="499"/>
      <c r="AF76" s="499"/>
    </row>
    <row r="77" spans="12:32" x14ac:dyDescent="0.3">
      <c r="X77" s="516">
        <f>SUM(Q35:Q41)</f>
        <v>0</v>
      </c>
      <c r="Y77" s="499"/>
      <c r="Z77" s="516">
        <f>SUM(T12:T23)</f>
        <v>0</v>
      </c>
      <c r="AA77" s="499"/>
      <c r="AB77" s="499"/>
      <c r="AC77" s="504"/>
      <c r="AD77" s="499"/>
      <c r="AE77" s="499"/>
      <c r="AF77" s="499"/>
    </row>
    <row r="78" spans="12:32" x14ac:dyDescent="0.3">
      <c r="X78" s="517" t="s">
        <v>171</v>
      </c>
      <c r="Y78" s="499"/>
      <c r="Z78" s="517" t="s">
        <v>171</v>
      </c>
      <c r="AA78" s="499"/>
      <c r="AB78" s="499"/>
      <c r="AC78" s="504"/>
      <c r="AD78" s="499"/>
      <c r="AE78" s="499"/>
      <c r="AF78" s="499"/>
    </row>
    <row r="79" spans="12:32" x14ac:dyDescent="0.3">
      <c r="X79" s="518">
        <f>X75+X77</f>
        <v>0</v>
      </c>
      <c r="Y79" s="499"/>
      <c r="Z79" s="518">
        <f>Z75+Z77</f>
        <v>0</v>
      </c>
      <c r="AA79" s="499"/>
      <c r="AB79" s="499"/>
      <c r="AC79" s="523"/>
      <c r="AD79" s="499"/>
      <c r="AE79" s="499"/>
      <c r="AF79" s="499"/>
    </row>
    <row r="80" spans="12:32" x14ac:dyDescent="0.3">
      <c r="X80" s="517" t="s">
        <v>165</v>
      </c>
      <c r="Y80" s="499"/>
      <c r="Z80" s="499"/>
      <c r="AA80" s="499"/>
      <c r="AB80" s="499"/>
      <c r="AC80" s="523"/>
      <c r="AD80" s="499"/>
      <c r="AE80" s="499"/>
      <c r="AF80" s="499"/>
    </row>
    <row r="81" spans="24:32" x14ac:dyDescent="0.3">
      <c r="X81" s="499">
        <f>IF(S4="直島町",0,1)</f>
        <v>1</v>
      </c>
      <c r="Y81" s="499"/>
      <c r="Z81" s="499"/>
      <c r="AA81" s="499"/>
      <c r="AB81" s="499"/>
      <c r="AC81" s="523"/>
      <c r="AD81" s="499"/>
      <c r="AE81" s="499"/>
      <c r="AF81" s="499"/>
    </row>
    <row r="82" spans="24:32" x14ac:dyDescent="0.3">
      <c r="X82" s="499">
        <f>X79*X81</f>
        <v>0</v>
      </c>
      <c r="Y82" s="499"/>
      <c r="Z82" s="499"/>
      <c r="AA82" s="499"/>
      <c r="AB82" s="499"/>
      <c r="AC82" s="523"/>
      <c r="AD82" s="499"/>
      <c r="AE82" s="499"/>
      <c r="AF82" s="499"/>
    </row>
    <row r="83" spans="24:32" x14ac:dyDescent="0.3">
      <c r="X83" s="499"/>
      <c r="Y83" s="499"/>
      <c r="Z83" s="499"/>
      <c r="AA83" s="499"/>
      <c r="AB83" s="499"/>
      <c r="AC83" s="523"/>
      <c r="AD83" s="499"/>
      <c r="AE83" s="499"/>
      <c r="AF83" s="499"/>
    </row>
    <row r="84" spans="24:32" x14ac:dyDescent="0.3">
      <c r="X84" s="499"/>
      <c r="Y84" s="499"/>
      <c r="Z84" s="499"/>
      <c r="AA84" s="499"/>
      <c r="AB84" s="499"/>
      <c r="AC84" s="523"/>
      <c r="AD84" s="499"/>
      <c r="AE84" s="499"/>
      <c r="AF84" s="499"/>
    </row>
    <row r="85" spans="24:32" x14ac:dyDescent="0.3">
      <c r="AC85" s="18"/>
    </row>
    <row r="86" spans="24:32" x14ac:dyDescent="0.3">
      <c r="AC86" s="18"/>
    </row>
    <row r="87" spans="24:32" x14ac:dyDescent="0.3">
      <c r="AC87" s="18"/>
    </row>
    <row r="88" spans="24:32" x14ac:dyDescent="0.3">
      <c r="AC88" s="18"/>
    </row>
    <row r="89" spans="24:32" x14ac:dyDescent="0.3">
      <c r="AC89" s="18"/>
    </row>
    <row r="90" spans="24:32" x14ac:dyDescent="0.3">
      <c r="AC90" s="18"/>
    </row>
    <row r="91" spans="24:32" x14ac:dyDescent="0.3">
      <c r="AC91" s="18"/>
    </row>
    <row r="92" spans="24:32" x14ac:dyDescent="0.3">
      <c r="AC92" s="18"/>
    </row>
    <row r="93" spans="24:32" x14ac:dyDescent="0.3">
      <c r="AC93" s="18"/>
    </row>
    <row r="94" spans="24:32" x14ac:dyDescent="0.3">
      <c r="AC94" s="18"/>
    </row>
    <row r="95" spans="24:32" x14ac:dyDescent="0.3">
      <c r="AC95" s="18"/>
    </row>
    <row r="96" spans="24:32" x14ac:dyDescent="0.3">
      <c r="AC96" s="18"/>
    </row>
    <row r="97" spans="29:29" x14ac:dyDescent="0.3">
      <c r="AC97" s="18"/>
    </row>
    <row r="98" spans="29:29" x14ac:dyDescent="0.3">
      <c r="AC98" s="18"/>
    </row>
    <row r="99" spans="29:29" x14ac:dyDescent="0.3">
      <c r="AC99" s="18"/>
    </row>
    <row r="100" spans="29:29" x14ac:dyDescent="0.3">
      <c r="AC100" s="18"/>
    </row>
    <row r="101" spans="29:29" x14ac:dyDescent="0.3">
      <c r="AC101" s="18"/>
    </row>
    <row r="102" spans="29:29" x14ac:dyDescent="0.3">
      <c r="AC102" s="18"/>
    </row>
    <row r="103" spans="29:29" x14ac:dyDescent="0.3">
      <c r="AC103" s="18"/>
    </row>
    <row r="104" spans="29:29" x14ac:dyDescent="0.3">
      <c r="AC104" s="18"/>
    </row>
    <row r="105" spans="29:29" x14ac:dyDescent="0.3">
      <c r="AC105" s="18"/>
    </row>
    <row r="106" spans="29:29" x14ac:dyDescent="0.3">
      <c r="AC106" s="18"/>
    </row>
    <row r="107" spans="29:29" x14ac:dyDescent="0.3">
      <c r="AC107" s="18"/>
    </row>
    <row r="108" spans="29:29" x14ac:dyDescent="0.3">
      <c r="AC108" s="18"/>
    </row>
    <row r="109" spans="29:29" x14ac:dyDescent="0.3">
      <c r="AC109" s="18"/>
    </row>
    <row r="110" spans="29:29" x14ac:dyDescent="0.3">
      <c r="AC110" s="18"/>
    </row>
    <row r="111" spans="29:29" x14ac:dyDescent="0.3">
      <c r="AC111" s="18"/>
    </row>
    <row r="112" spans="29:29" x14ac:dyDescent="0.3">
      <c r="AC112" s="18"/>
    </row>
    <row r="113" spans="29:29" x14ac:dyDescent="0.3">
      <c r="AC113" s="18"/>
    </row>
    <row r="114" spans="29:29" x14ac:dyDescent="0.3">
      <c r="AC114" s="18"/>
    </row>
    <row r="115" spans="29:29" x14ac:dyDescent="0.3">
      <c r="AC115" s="18"/>
    </row>
    <row r="116" spans="29:29" x14ac:dyDescent="0.3">
      <c r="AC116" s="18"/>
    </row>
    <row r="117" spans="29:29" x14ac:dyDescent="0.3">
      <c r="AC117" s="18"/>
    </row>
    <row r="118" spans="29:29" x14ac:dyDescent="0.3">
      <c r="AC118" s="18"/>
    </row>
    <row r="119" spans="29:29" x14ac:dyDescent="0.3">
      <c r="AC119" s="18"/>
    </row>
    <row r="120" spans="29:29" x14ac:dyDescent="0.3">
      <c r="AC120" s="18"/>
    </row>
    <row r="121" spans="29:29" x14ac:dyDescent="0.3">
      <c r="AC121" s="18"/>
    </row>
    <row r="122" spans="29:29" x14ac:dyDescent="0.3">
      <c r="AC122" s="18"/>
    </row>
    <row r="123" spans="29:29" x14ac:dyDescent="0.3">
      <c r="AC123" s="18"/>
    </row>
    <row r="124" spans="29:29" x14ac:dyDescent="0.3">
      <c r="AC124" s="18"/>
    </row>
    <row r="125" spans="29:29" x14ac:dyDescent="0.3">
      <c r="AC125" s="18"/>
    </row>
    <row r="126" spans="29:29" x14ac:dyDescent="0.3">
      <c r="AC126" s="18"/>
    </row>
    <row r="127" spans="29:29" x14ac:dyDescent="0.3">
      <c r="AC127" s="18"/>
    </row>
    <row r="128" spans="29:29" x14ac:dyDescent="0.3">
      <c r="AC128" s="18"/>
    </row>
    <row r="129" spans="29:29" x14ac:dyDescent="0.3">
      <c r="AC129" s="18"/>
    </row>
    <row r="130" spans="29:29" x14ac:dyDescent="0.3">
      <c r="AC130" s="18"/>
    </row>
    <row r="131" spans="29:29" x14ac:dyDescent="0.3">
      <c r="AC131" s="18"/>
    </row>
    <row r="132" spans="29:29" x14ac:dyDescent="0.3">
      <c r="AC132" s="18"/>
    </row>
    <row r="133" spans="29:29" x14ac:dyDescent="0.3">
      <c r="AC133" s="18"/>
    </row>
    <row r="134" spans="29:29" x14ac:dyDescent="0.3">
      <c r="AC134" s="18"/>
    </row>
    <row r="135" spans="29:29" x14ac:dyDescent="0.3">
      <c r="AC135" s="18"/>
    </row>
    <row r="136" spans="29:29" x14ac:dyDescent="0.3">
      <c r="AC136" s="18"/>
    </row>
    <row r="137" spans="29:29" x14ac:dyDescent="0.3">
      <c r="AC137" s="18"/>
    </row>
    <row r="138" spans="29:29" x14ac:dyDescent="0.3">
      <c r="AC138" s="18"/>
    </row>
    <row r="139" spans="29:29" x14ac:dyDescent="0.3">
      <c r="AC139" s="18"/>
    </row>
    <row r="140" spans="29:29" x14ac:dyDescent="0.3">
      <c r="AC140" s="18"/>
    </row>
    <row r="141" spans="29:29" x14ac:dyDescent="0.3">
      <c r="AC141" s="18"/>
    </row>
    <row r="142" spans="29:29" x14ac:dyDescent="0.3">
      <c r="AC142" s="18"/>
    </row>
    <row r="143" spans="29:29" x14ac:dyDescent="0.3">
      <c r="AC143" s="18"/>
    </row>
    <row r="144" spans="29:29" x14ac:dyDescent="0.3">
      <c r="AC144" s="18"/>
    </row>
    <row r="145" spans="29:29" x14ac:dyDescent="0.3">
      <c r="AC145" s="18"/>
    </row>
    <row r="146" spans="29:29" x14ac:dyDescent="0.3">
      <c r="AC146" s="18"/>
    </row>
    <row r="147" spans="29:29" x14ac:dyDescent="0.3">
      <c r="AC147" s="18"/>
    </row>
  </sheetData>
  <sheetProtection algorithmName="SHA-512" hashValue="4ReI24I7g98ylXLfPfjOQhmnKcHQj9S4ZxBBdE0qFCK7IrQ0zywY7KR6JzIHHR7I2egWSBiUHZ1C0Q1eP8IOiQ==" saltValue="5C+pbCRq4k9lsHikPqSxEg==" spinCount="100000" sheet="1" objects="1" scenarios="1"/>
  <mergeCells count="39">
    <mergeCell ref="T57:T58"/>
    <mergeCell ref="T61:T62"/>
    <mergeCell ref="H46:I46"/>
    <mergeCell ref="T28:T30"/>
    <mergeCell ref="T48:T49"/>
    <mergeCell ref="T51:T52"/>
    <mergeCell ref="T54:T55"/>
    <mergeCell ref="H47:I47"/>
    <mergeCell ref="H55:I55"/>
    <mergeCell ref="H56:I56"/>
    <mergeCell ref="H57:I57"/>
    <mergeCell ref="E50:I50"/>
    <mergeCell ref="E60:I60"/>
    <mergeCell ref="E58:I58"/>
    <mergeCell ref="E59:I59"/>
    <mergeCell ref="C57:D57"/>
    <mergeCell ref="E45:F45"/>
    <mergeCell ref="C56:D56"/>
    <mergeCell ref="E49:I49"/>
    <mergeCell ref="E48:I48"/>
    <mergeCell ref="C53:J53"/>
    <mergeCell ref="C46:D46"/>
    <mergeCell ref="C47:D47"/>
    <mergeCell ref="E46:F46"/>
    <mergeCell ref="E47:F47"/>
    <mergeCell ref="E56:F56"/>
    <mergeCell ref="E57:F57"/>
    <mergeCell ref="E55:F55"/>
    <mergeCell ref="A1:S1"/>
    <mergeCell ref="H7:J7"/>
    <mergeCell ref="H45:I45"/>
    <mergeCell ref="N42:T44"/>
    <mergeCell ref="S7:W8"/>
    <mergeCell ref="C7:D7"/>
    <mergeCell ref="E7:G7"/>
    <mergeCell ref="T24:T26"/>
    <mergeCell ref="C45:D45"/>
    <mergeCell ref="T32:T34"/>
    <mergeCell ref="T36:T38"/>
  </mergeCells>
  <phoneticPr fontId="1"/>
  <conditionalFormatting sqref="E38">
    <cfRule type="expression" dxfId="175" priority="4">
      <formula>TEXT(E38,"aaa")="土"</formula>
    </cfRule>
  </conditionalFormatting>
  <conditionalFormatting sqref="E38">
    <cfRule type="expression" dxfId="174" priority="3">
      <formula>TEXT(E38,"aaa")="日"</formula>
    </cfRule>
  </conditionalFormatting>
  <conditionalFormatting sqref="E39 E9:E37">
    <cfRule type="expression" dxfId="173" priority="10">
      <formula>TEXT(E9,"aaa")="土"</formula>
    </cfRule>
  </conditionalFormatting>
  <conditionalFormatting sqref="E39 E9:E37">
    <cfRule type="expression" dxfId="172" priority="9">
      <formula>TEXT(E9,"aaa")="日"</formula>
    </cfRule>
  </conditionalFormatting>
  <conditionalFormatting sqref="H39 H9:H37">
    <cfRule type="expression" dxfId="171" priority="8">
      <formula>TEXT(H9,"aaa")="土"</formula>
    </cfRule>
  </conditionalFormatting>
  <conditionalFormatting sqref="H39 H9:H37">
    <cfRule type="expression" dxfId="170" priority="7">
      <formula>TEXT(H9,"aaa")="日"</formula>
    </cfRule>
  </conditionalFormatting>
  <conditionalFormatting sqref="H38">
    <cfRule type="expression" dxfId="169" priority="6">
      <formula>TEXT(H38,"aaa")="土"</formula>
    </cfRule>
  </conditionalFormatting>
  <conditionalFormatting sqref="H38">
    <cfRule type="expression" dxfId="168" priority="5">
      <formula>TEXT(H38,"aaa")="日"</formula>
    </cfRule>
  </conditionalFormatting>
  <conditionalFormatting sqref="H37">
    <cfRule type="expression" dxfId="167" priority="2">
      <formula>TEXT(H37,"aaa")="土"</formula>
    </cfRule>
  </conditionalFormatting>
  <conditionalFormatting sqref="H37">
    <cfRule type="expression" dxfId="166" priority="1">
      <formula>TEXT(H37,"aaa")="日"</formula>
    </cfRule>
  </conditionalFormatting>
  <conditionalFormatting sqref="E9:E39 H9:H39">
    <cfRule type="expression" dxfId="165" priority="1448">
      <formula>COUNTIF($AM$9:$AM$129,$P9)</formula>
    </cfRule>
  </conditionalFormatting>
  <dataValidations count="3">
    <dataValidation type="list" allowBlank="1" showInputMessage="1" showErrorMessage="1" sqref="D9:D38 F9:F39 I9:I36">
      <formula1>"○"</formula1>
    </dataValidation>
    <dataValidation type="list" allowBlank="1" showInputMessage="1" showErrorMessage="1" sqref="T24:T26 T32:T34 T36 T39:T40 T28:T30 T59:T62 T57 T51 T48 T54 T45">
      <formula1>"レ"</formula1>
    </dataValidation>
    <dataValidation type="list" allowBlank="1" showInputMessage="1" showErrorMessage="1" sqref="S7:T7">
      <formula1>"綾川町・まんのう町・直島町　以外,綾川町・まんのう町,直島町"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portrait" r:id="rId1"/>
  <colBreaks count="1" manualBreakCount="1">
    <brk id="2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66FFFF"/>
  </sheetPr>
  <dimension ref="A1:AX105"/>
  <sheetViews>
    <sheetView showGridLines="0" view="pageBreakPreview" topLeftCell="Y4" zoomScale="70" zoomScaleNormal="55" zoomScaleSheetLayoutView="70" workbookViewId="0">
      <selection activeCell="AO22" sqref="AO22"/>
    </sheetView>
  </sheetViews>
  <sheetFormatPr defaultColWidth="9" defaultRowHeight="13.5" x14ac:dyDescent="0.3"/>
  <cols>
    <col min="1" max="1" width="1.25" style="1" customWidth="1"/>
    <col min="2" max="2" width="9.58203125" style="1" customWidth="1"/>
    <col min="3" max="3" width="3.5" style="1" customWidth="1"/>
    <col min="4" max="4" width="10.5" style="1" customWidth="1"/>
    <col min="5" max="5" width="9.58203125" style="1" customWidth="1"/>
    <col min="6" max="6" width="3.5" style="1" customWidth="1"/>
    <col min="7" max="7" width="10.5" style="1" customWidth="1"/>
    <col min="8" max="8" width="9.58203125" style="1" customWidth="1"/>
    <col min="9" max="9" width="3.5" style="1" customWidth="1"/>
    <col min="10" max="10" width="10.5" style="1" customWidth="1"/>
    <col min="11" max="11" width="9.58203125" style="1" customWidth="1"/>
    <col min="12" max="12" width="3.5" style="1" customWidth="1"/>
    <col min="13" max="13" width="10.5" style="1" customWidth="1"/>
    <col min="14" max="14" width="9.58203125" style="1" customWidth="1"/>
    <col min="15" max="15" width="3.5" style="1" customWidth="1"/>
    <col min="16" max="16" width="10.5" style="1" customWidth="1"/>
    <col min="17" max="17" width="9.58203125" style="1" customWidth="1"/>
    <col min="18" max="18" width="3.5" style="1" customWidth="1"/>
    <col min="19" max="19" width="10.5" style="1" customWidth="1"/>
    <col min="20" max="20" width="9.58203125" style="1" customWidth="1"/>
    <col min="21" max="21" width="3.5" style="1" customWidth="1"/>
    <col min="22" max="22" width="11.5" style="1" customWidth="1"/>
    <col min="23" max="23" width="9.58203125" style="1" customWidth="1"/>
    <col min="24" max="24" width="3.5" style="1" customWidth="1"/>
    <col min="25" max="25" width="10.5" style="1" customWidth="1"/>
    <col min="26" max="26" width="9.58203125" style="1" customWidth="1"/>
    <col min="27" max="27" width="3.5" style="1" customWidth="1"/>
    <col min="28" max="28" width="10.5" style="1" customWidth="1"/>
    <col min="29" max="29" width="9.58203125" style="1" customWidth="1"/>
    <col min="30" max="30" width="3.5" style="1" customWidth="1"/>
    <col min="31" max="31" width="10.5" style="1" customWidth="1"/>
    <col min="32" max="32" width="9.58203125" style="1" customWidth="1"/>
    <col min="33" max="33" width="3.5" style="1" customWidth="1"/>
    <col min="34" max="34" width="10.5" style="1" customWidth="1"/>
    <col min="35" max="35" width="9.58203125" style="1" customWidth="1"/>
    <col min="36" max="36" width="3.5" style="1" customWidth="1"/>
    <col min="37" max="37" width="10.5" style="1" customWidth="1"/>
    <col min="38" max="38" width="9.58203125" style="1" customWidth="1"/>
    <col min="39" max="39" width="3.5" style="1" customWidth="1"/>
    <col min="40" max="40" width="10.5" style="1" customWidth="1"/>
    <col min="41" max="41" width="9.58203125" style="1" customWidth="1"/>
    <col min="42" max="42" width="3.5" style="1" customWidth="1"/>
    <col min="43" max="43" width="10.5" style="1" customWidth="1"/>
    <col min="44" max="44" width="1.33203125" style="1" customWidth="1"/>
    <col min="45" max="45" width="8.33203125" style="1" customWidth="1"/>
    <col min="46" max="46" width="5.58203125" style="1" customWidth="1"/>
    <col min="47" max="47" width="12.58203125" style="1" customWidth="1"/>
    <col min="48" max="16384" width="9" style="1"/>
  </cols>
  <sheetData>
    <row r="1" spans="2:50" ht="24.65" customHeight="1" x14ac:dyDescent="0.3">
      <c r="C1" s="219" t="s">
        <v>34</v>
      </c>
      <c r="I1" s="220" t="s">
        <v>35</v>
      </c>
      <c r="R1" s="6"/>
      <c r="V1" s="276" t="s">
        <v>60</v>
      </c>
      <c r="X1" s="219" t="s">
        <v>50</v>
      </c>
      <c r="AD1" s="220" t="s">
        <v>35</v>
      </c>
      <c r="AM1" s="81"/>
      <c r="AP1" s="81"/>
      <c r="AS1" s="276" t="s">
        <v>60</v>
      </c>
    </row>
    <row r="2" spans="2:50" ht="5.5" customHeight="1" x14ac:dyDescent="0.3"/>
    <row r="3" spans="2:50" ht="25" customHeight="1" thickBot="1" x14ac:dyDescent="0.35">
      <c r="E3" s="3"/>
      <c r="F3" s="3"/>
      <c r="G3" s="221" t="s">
        <v>36</v>
      </c>
      <c r="H3" s="24"/>
      <c r="I3" s="24"/>
      <c r="J3" s="2"/>
      <c r="K3" s="4"/>
      <c r="L3" s="4"/>
      <c r="M3" s="3"/>
      <c r="N3" s="101" t="s">
        <v>1</v>
      </c>
      <c r="O3" s="101"/>
      <c r="P3" s="222"/>
      <c r="Q3" s="223"/>
      <c r="R3" s="223"/>
      <c r="S3" s="223"/>
      <c r="T3" s="223"/>
      <c r="U3" s="223"/>
      <c r="V3" s="223"/>
      <c r="W3" s="4"/>
      <c r="X3" s="24"/>
      <c r="Y3" s="3"/>
      <c r="AA3" s="4"/>
      <c r="AC3" s="2"/>
      <c r="AD3" s="2"/>
      <c r="AE3" s="2"/>
      <c r="AF3" s="2"/>
      <c r="AG3" s="2"/>
      <c r="AH3" s="2"/>
      <c r="AI3" s="101" t="s">
        <v>1</v>
      </c>
      <c r="AJ3" s="101"/>
      <c r="AK3" s="222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X3" s="274"/>
    </row>
    <row r="4" spans="2:50" ht="6" customHeight="1" thickTop="1" x14ac:dyDescent="0.3">
      <c r="B4" s="4"/>
      <c r="C4" s="4"/>
      <c r="D4" s="3"/>
      <c r="E4" s="3"/>
      <c r="F4" s="3"/>
      <c r="G4" s="2"/>
      <c r="H4" s="24"/>
      <c r="I4" s="24"/>
      <c r="J4" s="2"/>
      <c r="K4" s="4"/>
      <c r="L4" s="4"/>
      <c r="M4" s="3"/>
      <c r="N4" s="3"/>
      <c r="O4" s="3"/>
      <c r="P4" s="224"/>
      <c r="Q4" s="224"/>
      <c r="R4" s="224"/>
      <c r="S4" s="224"/>
      <c r="T4" s="224"/>
      <c r="U4" s="224"/>
      <c r="V4" s="22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74"/>
    </row>
    <row r="5" spans="2:50" ht="18" customHeight="1" x14ac:dyDescent="0.3">
      <c r="B5" s="4">
        <v>2021</v>
      </c>
      <c r="C5" s="4"/>
      <c r="D5" s="3" t="s">
        <v>37</v>
      </c>
      <c r="E5" s="2"/>
      <c r="F5" s="2"/>
      <c r="G5" s="2"/>
      <c r="H5" s="225"/>
      <c r="I5" s="2"/>
      <c r="J5" s="2"/>
      <c r="K5" s="4"/>
      <c r="L5" s="4"/>
      <c r="M5" s="3"/>
      <c r="Q5" s="4"/>
      <c r="R5" s="24"/>
      <c r="S5" s="3"/>
      <c r="T5" s="224"/>
      <c r="U5" s="224"/>
      <c r="V5" s="224"/>
      <c r="W5" s="4">
        <v>2021</v>
      </c>
      <c r="X5" s="24"/>
      <c r="Y5" s="3" t="s">
        <v>37</v>
      </c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74"/>
    </row>
    <row r="6" spans="2:50" ht="3.65" customHeight="1" x14ac:dyDescent="0.3">
      <c r="B6" s="23"/>
      <c r="C6" s="23"/>
      <c r="D6" s="225"/>
      <c r="E6" s="2"/>
      <c r="F6" s="2"/>
      <c r="G6" s="2"/>
      <c r="H6" s="225"/>
      <c r="I6" s="2"/>
      <c r="J6" s="2"/>
      <c r="K6" s="4"/>
      <c r="L6" s="4"/>
      <c r="M6" s="3"/>
      <c r="N6" s="226"/>
      <c r="O6" s="226"/>
      <c r="P6" s="224"/>
      <c r="Q6" s="224"/>
      <c r="R6" s="224"/>
      <c r="S6" s="224"/>
      <c r="T6" s="224"/>
      <c r="U6" s="224"/>
      <c r="V6" s="224"/>
      <c r="W6" s="225"/>
      <c r="X6" s="2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188"/>
    </row>
    <row r="7" spans="2:50" s="6" customFormat="1" ht="20.149999999999999" customHeight="1" x14ac:dyDescent="0.3">
      <c r="B7" s="633">
        <f>DATE(2021,1,1)</f>
        <v>44197</v>
      </c>
      <c r="C7" s="634"/>
      <c r="D7" s="634"/>
      <c r="E7" s="631">
        <f>DATE(YEAR(B7),MONTH(B7)+1,DAY(B7))</f>
        <v>44228</v>
      </c>
      <c r="F7" s="599"/>
      <c r="G7" s="599"/>
      <c r="H7" s="631">
        <f>DATE(YEAR(E7),MONTH(E7)+1,DAY(E7))</f>
        <v>44256</v>
      </c>
      <c r="I7" s="599"/>
      <c r="J7" s="599"/>
      <c r="K7" s="631">
        <f>DATE(YEAR(H7),MONTH(H7)+1,DAY(H7))</f>
        <v>44287</v>
      </c>
      <c r="L7" s="599"/>
      <c r="M7" s="599"/>
      <c r="N7" s="631">
        <f>DATE(YEAR(K7),MONTH(K7)+1,DAY(K7))</f>
        <v>44317</v>
      </c>
      <c r="O7" s="599"/>
      <c r="P7" s="600"/>
      <c r="Q7" s="599">
        <f>DATE(YEAR(N7),MONTH(N7)+1,DAY(N7))</f>
        <v>44348</v>
      </c>
      <c r="R7" s="599"/>
      <c r="S7" s="599"/>
      <c r="T7" s="631">
        <f>DATE(YEAR(Q7),MONTH(Q7)+1,DAY(Q7))</f>
        <v>44378</v>
      </c>
      <c r="U7" s="599"/>
      <c r="V7" s="599"/>
      <c r="W7" s="631">
        <f>DATE(YEAR(T7),MONTH(T7)+1,DAY(T7))</f>
        <v>44409</v>
      </c>
      <c r="X7" s="599"/>
      <c r="Y7" s="599"/>
      <c r="Z7" s="631">
        <f>DATE(YEAR(W7),MONTH(W7)+1,DAY(W7))</f>
        <v>44440</v>
      </c>
      <c r="AA7" s="599"/>
      <c r="AB7" s="599"/>
      <c r="AC7" s="631">
        <f>DATE(YEAR(Z7),MONTH(Z7)+1,DAY(Z7))</f>
        <v>44470</v>
      </c>
      <c r="AD7" s="599"/>
      <c r="AE7" s="599"/>
      <c r="AF7" s="631">
        <f>DATE(YEAR(AC7),MONTH(AC7)+1,DAY(AC7))</f>
        <v>44501</v>
      </c>
      <c r="AG7" s="599"/>
      <c r="AH7" s="600"/>
      <c r="AI7" s="631">
        <f>DATE(YEAR(AF7),MONTH(AF7)+1,DAY(AF7))</f>
        <v>44531</v>
      </c>
      <c r="AJ7" s="599"/>
      <c r="AK7" s="632"/>
      <c r="AL7" s="631">
        <f>DATE(YEAR(AI7),MONTH(AI7)+1,DAY(AI7))</f>
        <v>44562</v>
      </c>
      <c r="AM7" s="599"/>
      <c r="AN7" s="632"/>
      <c r="AO7" s="631">
        <f>DATE(YEAR(AL7),MONTH(AL7)+1,DAY(AL7))</f>
        <v>44593</v>
      </c>
      <c r="AP7" s="599"/>
      <c r="AQ7" s="632"/>
    </row>
    <row r="8" spans="2:50" s="19" customFormat="1" ht="20.149999999999999" customHeight="1" thickBot="1" x14ac:dyDescent="0.35">
      <c r="B8" s="227" t="s">
        <v>10</v>
      </c>
      <c r="C8" s="227" t="s">
        <v>13</v>
      </c>
      <c r="D8" s="227" t="s">
        <v>0</v>
      </c>
      <c r="E8" s="227" t="s">
        <v>10</v>
      </c>
      <c r="F8" s="227" t="s">
        <v>13</v>
      </c>
      <c r="G8" s="227" t="s">
        <v>0</v>
      </c>
      <c r="H8" s="227" t="s">
        <v>10</v>
      </c>
      <c r="I8" s="227" t="s">
        <v>13</v>
      </c>
      <c r="J8" s="227" t="s">
        <v>0</v>
      </c>
      <c r="K8" s="227" t="s">
        <v>10</v>
      </c>
      <c r="L8" s="227" t="s">
        <v>13</v>
      </c>
      <c r="M8" s="227" t="s">
        <v>0</v>
      </c>
      <c r="N8" s="227" t="s">
        <v>10</v>
      </c>
      <c r="O8" s="227" t="s">
        <v>13</v>
      </c>
      <c r="P8" s="227" t="s">
        <v>0</v>
      </c>
      <c r="Q8" s="268" t="s">
        <v>10</v>
      </c>
      <c r="R8" s="227" t="s">
        <v>13</v>
      </c>
      <c r="S8" s="227" t="s">
        <v>0</v>
      </c>
      <c r="T8" s="227" t="s">
        <v>10</v>
      </c>
      <c r="U8" s="227" t="s">
        <v>13</v>
      </c>
      <c r="V8" s="227" t="s">
        <v>0</v>
      </c>
      <c r="W8" s="227" t="s">
        <v>10</v>
      </c>
      <c r="X8" s="227" t="s">
        <v>13</v>
      </c>
      <c r="Y8" s="227" t="s">
        <v>0</v>
      </c>
      <c r="Z8" s="227" t="s">
        <v>10</v>
      </c>
      <c r="AA8" s="228" t="s">
        <v>13</v>
      </c>
      <c r="AB8" s="228" t="s">
        <v>0</v>
      </c>
      <c r="AC8" s="227" t="s">
        <v>10</v>
      </c>
      <c r="AD8" s="227" t="s">
        <v>13</v>
      </c>
      <c r="AE8" s="227" t="s">
        <v>0</v>
      </c>
      <c r="AF8" s="227" t="s">
        <v>10</v>
      </c>
      <c r="AG8" s="227" t="s">
        <v>13</v>
      </c>
      <c r="AH8" s="227" t="s">
        <v>0</v>
      </c>
      <c r="AI8" s="227" t="s">
        <v>10</v>
      </c>
      <c r="AJ8" s="227" t="s">
        <v>13</v>
      </c>
      <c r="AK8" s="227" t="s">
        <v>0</v>
      </c>
      <c r="AL8" s="227" t="s">
        <v>58</v>
      </c>
      <c r="AM8" s="227" t="s">
        <v>13</v>
      </c>
      <c r="AN8" s="227" t="s">
        <v>0</v>
      </c>
      <c r="AO8" s="227" t="s">
        <v>58</v>
      </c>
      <c r="AP8" s="227" t="s">
        <v>13</v>
      </c>
      <c r="AQ8" s="227" t="s">
        <v>0</v>
      </c>
    </row>
    <row r="9" spans="2:50" s="8" customFormat="1" thickBot="1" x14ac:dyDescent="0.35">
      <c r="B9" s="229">
        <f>B7</f>
        <v>44197</v>
      </c>
      <c r="C9" s="230"/>
      <c r="D9" s="237"/>
      <c r="E9" s="229">
        <f>E7</f>
        <v>44228</v>
      </c>
      <c r="F9" s="231"/>
      <c r="G9" s="232"/>
      <c r="H9" s="229">
        <f>H7</f>
        <v>44256</v>
      </c>
      <c r="I9" s="231"/>
      <c r="J9" s="469"/>
      <c r="K9" s="229">
        <f t="shared" ref="K9:AC9" si="0">K7</f>
        <v>44287</v>
      </c>
      <c r="L9" s="231"/>
      <c r="M9" s="232"/>
      <c r="N9" s="229">
        <f t="shared" si="0"/>
        <v>44317</v>
      </c>
      <c r="O9" s="231"/>
      <c r="P9" s="252"/>
      <c r="Q9" s="269">
        <f t="shared" si="0"/>
        <v>44348</v>
      </c>
      <c r="R9" s="231"/>
      <c r="S9" s="232"/>
      <c r="T9" s="229">
        <f t="shared" si="0"/>
        <v>44378</v>
      </c>
      <c r="U9" s="231"/>
      <c r="V9" s="232"/>
      <c r="W9" s="229">
        <f t="shared" si="0"/>
        <v>44409</v>
      </c>
      <c r="X9" s="231"/>
      <c r="Y9" s="232"/>
      <c r="Z9" s="229">
        <f t="shared" si="0"/>
        <v>44440</v>
      </c>
      <c r="AA9" s="231"/>
      <c r="AB9" s="232"/>
      <c r="AC9" s="229">
        <f t="shared" si="0"/>
        <v>44470</v>
      </c>
      <c r="AD9" s="231"/>
      <c r="AE9" s="232"/>
      <c r="AF9" s="229">
        <f>AF7</f>
        <v>44501</v>
      </c>
      <c r="AG9" s="231"/>
      <c r="AH9" s="232"/>
      <c r="AI9" s="229">
        <f>AI7</f>
        <v>44531</v>
      </c>
      <c r="AJ9" s="233"/>
      <c r="AK9" s="234"/>
      <c r="AL9" s="229">
        <f>AL7</f>
        <v>44562</v>
      </c>
      <c r="AM9" s="233"/>
      <c r="AN9" s="234"/>
      <c r="AO9" s="431">
        <f>AO7</f>
        <v>44593</v>
      </c>
      <c r="AP9" s="432"/>
      <c r="AQ9" s="433"/>
      <c r="AV9" s="511" t="s">
        <v>182</v>
      </c>
      <c r="AW9" s="511"/>
    </row>
    <row r="10" spans="2:50" s="8" customFormat="1" thickTop="1" x14ac:dyDescent="0.3">
      <c r="B10" s="229">
        <f>B9+1</f>
        <v>44198</v>
      </c>
      <c r="C10" s="236"/>
      <c r="D10" s="237"/>
      <c r="E10" s="235">
        <f>E9+1</f>
        <v>44229</v>
      </c>
      <c r="F10" s="233"/>
      <c r="G10" s="234"/>
      <c r="H10" s="235">
        <f>H9+1</f>
        <v>44257</v>
      </c>
      <c r="I10" s="233"/>
      <c r="J10" s="234"/>
      <c r="K10" s="235">
        <f t="shared" ref="K10:AC25" si="1">K9+1</f>
        <v>44288</v>
      </c>
      <c r="L10" s="233"/>
      <c r="M10" s="234"/>
      <c r="N10" s="235">
        <f t="shared" si="1"/>
        <v>44318</v>
      </c>
      <c r="O10" s="233"/>
      <c r="P10" s="234"/>
      <c r="Q10" s="270">
        <f t="shared" si="1"/>
        <v>44349</v>
      </c>
      <c r="R10" s="233"/>
      <c r="S10" s="234"/>
      <c r="T10" s="235">
        <f t="shared" si="1"/>
        <v>44379</v>
      </c>
      <c r="U10" s="233"/>
      <c r="V10" s="234"/>
      <c r="W10" s="235">
        <f t="shared" si="1"/>
        <v>44410</v>
      </c>
      <c r="X10" s="233"/>
      <c r="Y10" s="234"/>
      <c r="Z10" s="235">
        <f t="shared" si="1"/>
        <v>44441</v>
      </c>
      <c r="AA10" s="233"/>
      <c r="AB10" s="234"/>
      <c r="AC10" s="235">
        <f t="shared" si="1"/>
        <v>44471</v>
      </c>
      <c r="AD10" s="233"/>
      <c r="AE10" s="234"/>
      <c r="AF10" s="235">
        <f t="shared" ref="AF10:AF36" si="2">AF9+1</f>
        <v>44502</v>
      </c>
      <c r="AG10" s="233"/>
      <c r="AH10" s="234"/>
      <c r="AI10" s="235">
        <f t="shared" ref="AI10:AI36" si="3">AI9+1</f>
        <v>44532</v>
      </c>
      <c r="AJ10" s="233"/>
      <c r="AK10" s="234"/>
      <c r="AL10" s="235">
        <f t="shared" ref="AL10:AL37" si="4">AL9+1</f>
        <v>44563</v>
      </c>
      <c r="AM10" s="233"/>
      <c r="AN10" s="234"/>
      <c r="AO10" s="440"/>
      <c r="AP10" s="435"/>
      <c r="AQ10" s="439"/>
      <c r="AV10" s="511" t="s">
        <v>183</v>
      </c>
      <c r="AW10" s="511"/>
    </row>
    <row r="11" spans="2:50" s="8" customFormat="1" ht="13" x14ac:dyDescent="0.3">
      <c r="B11" s="229">
        <f t="shared" ref="B11:B20" si="5">B10+1</f>
        <v>44199</v>
      </c>
      <c r="C11" s="236"/>
      <c r="D11" s="237"/>
      <c r="E11" s="235">
        <f t="shared" ref="E11:E36" si="6">E10+1</f>
        <v>44230</v>
      </c>
      <c r="F11" s="233"/>
      <c r="G11" s="234"/>
      <c r="H11" s="235">
        <f t="shared" ref="H11:H36" si="7">H10+1</f>
        <v>44258</v>
      </c>
      <c r="I11" s="233"/>
      <c r="J11" s="234"/>
      <c r="K11" s="235">
        <f t="shared" si="1"/>
        <v>44289</v>
      </c>
      <c r="L11" s="233"/>
      <c r="M11" s="234"/>
      <c r="N11" s="235">
        <f t="shared" si="1"/>
        <v>44319</v>
      </c>
      <c r="O11" s="233"/>
      <c r="P11" s="234"/>
      <c r="Q11" s="270">
        <f t="shared" si="1"/>
        <v>44350</v>
      </c>
      <c r="R11" s="233"/>
      <c r="S11" s="234"/>
      <c r="T11" s="235">
        <f t="shared" si="1"/>
        <v>44380</v>
      </c>
      <c r="U11" s="233"/>
      <c r="V11" s="234"/>
      <c r="W11" s="235">
        <f t="shared" si="1"/>
        <v>44411</v>
      </c>
      <c r="X11" s="233"/>
      <c r="Y11" s="234"/>
      <c r="Z11" s="235">
        <f t="shared" si="1"/>
        <v>44442</v>
      </c>
      <c r="AA11" s="233"/>
      <c r="AB11" s="234"/>
      <c r="AC11" s="235">
        <f t="shared" si="1"/>
        <v>44472</v>
      </c>
      <c r="AD11" s="233"/>
      <c r="AE11" s="234"/>
      <c r="AF11" s="235">
        <f t="shared" si="2"/>
        <v>44503</v>
      </c>
      <c r="AG11" s="233"/>
      <c r="AH11" s="234"/>
      <c r="AI11" s="235">
        <f t="shared" si="3"/>
        <v>44533</v>
      </c>
      <c r="AJ11" s="233"/>
      <c r="AK11" s="234"/>
      <c r="AL11" s="235">
        <f t="shared" si="4"/>
        <v>44564</v>
      </c>
      <c r="AM11" s="233"/>
      <c r="AN11" s="234"/>
      <c r="AO11" s="440"/>
      <c r="AP11" s="436"/>
      <c r="AQ11" s="440"/>
      <c r="AV11" s="511">
        <v>20</v>
      </c>
      <c r="AW11" s="511"/>
    </row>
    <row r="12" spans="2:50" s="8" customFormat="1" ht="13" x14ac:dyDescent="0.3">
      <c r="B12" s="229">
        <f t="shared" si="5"/>
        <v>44200</v>
      </c>
      <c r="C12" s="236"/>
      <c r="D12" s="237"/>
      <c r="E12" s="235">
        <f t="shared" si="6"/>
        <v>44231</v>
      </c>
      <c r="F12" s="233"/>
      <c r="G12" s="234"/>
      <c r="H12" s="235">
        <f>H11+1</f>
        <v>44259</v>
      </c>
      <c r="I12" s="233"/>
      <c r="J12" s="234"/>
      <c r="K12" s="235">
        <f t="shared" si="1"/>
        <v>44290</v>
      </c>
      <c r="L12" s="233"/>
      <c r="M12" s="234"/>
      <c r="N12" s="235">
        <f t="shared" si="1"/>
        <v>44320</v>
      </c>
      <c r="O12" s="233"/>
      <c r="P12" s="234"/>
      <c r="Q12" s="270">
        <f t="shared" si="1"/>
        <v>44351</v>
      </c>
      <c r="R12" s="233"/>
      <c r="S12" s="234"/>
      <c r="T12" s="235">
        <f t="shared" si="1"/>
        <v>44381</v>
      </c>
      <c r="U12" s="233"/>
      <c r="V12" s="234"/>
      <c r="W12" s="235">
        <f t="shared" si="1"/>
        <v>44412</v>
      </c>
      <c r="X12" s="233"/>
      <c r="Y12" s="234"/>
      <c r="Z12" s="235">
        <f t="shared" si="1"/>
        <v>44443</v>
      </c>
      <c r="AA12" s="233"/>
      <c r="AB12" s="234"/>
      <c r="AC12" s="235">
        <f t="shared" si="1"/>
        <v>44473</v>
      </c>
      <c r="AD12" s="233"/>
      <c r="AE12" s="234"/>
      <c r="AF12" s="235">
        <f t="shared" si="2"/>
        <v>44504</v>
      </c>
      <c r="AG12" s="233"/>
      <c r="AH12" s="234"/>
      <c r="AI12" s="235">
        <f t="shared" si="3"/>
        <v>44534</v>
      </c>
      <c r="AJ12" s="233"/>
      <c r="AK12" s="234"/>
      <c r="AL12" s="235">
        <f t="shared" si="4"/>
        <v>44565</v>
      </c>
      <c r="AM12" s="233"/>
      <c r="AN12" s="234"/>
      <c r="AO12" s="440"/>
      <c r="AP12" s="436"/>
      <c r="AQ12" s="440"/>
      <c r="AV12" s="511" t="s">
        <v>184</v>
      </c>
      <c r="AW12" s="511"/>
    </row>
    <row r="13" spans="2:50" s="8" customFormat="1" ht="13" x14ac:dyDescent="0.3">
      <c r="B13" s="229">
        <f t="shared" si="5"/>
        <v>44201</v>
      </c>
      <c r="C13" s="236"/>
      <c r="D13" s="237"/>
      <c r="E13" s="235">
        <f t="shared" si="6"/>
        <v>44232</v>
      </c>
      <c r="F13" s="233"/>
      <c r="G13" s="234"/>
      <c r="H13" s="235">
        <f t="shared" si="7"/>
        <v>44260</v>
      </c>
      <c r="I13" s="233"/>
      <c r="J13" s="234"/>
      <c r="K13" s="235">
        <f t="shared" si="1"/>
        <v>44291</v>
      </c>
      <c r="L13" s="233"/>
      <c r="M13" s="234"/>
      <c r="N13" s="235">
        <f t="shared" si="1"/>
        <v>44321</v>
      </c>
      <c r="O13" s="233"/>
      <c r="P13" s="234"/>
      <c r="Q13" s="270">
        <f t="shared" si="1"/>
        <v>44352</v>
      </c>
      <c r="R13" s="233"/>
      <c r="S13" s="234"/>
      <c r="T13" s="235">
        <f t="shared" si="1"/>
        <v>44382</v>
      </c>
      <c r="U13" s="233"/>
      <c r="V13" s="234"/>
      <c r="W13" s="235">
        <f t="shared" si="1"/>
        <v>44413</v>
      </c>
      <c r="X13" s="233"/>
      <c r="Y13" s="234"/>
      <c r="Z13" s="235">
        <f t="shared" si="1"/>
        <v>44444</v>
      </c>
      <c r="AA13" s="233"/>
      <c r="AB13" s="234"/>
      <c r="AC13" s="235">
        <f t="shared" si="1"/>
        <v>44474</v>
      </c>
      <c r="AD13" s="233"/>
      <c r="AE13" s="234"/>
      <c r="AF13" s="235">
        <f t="shared" si="2"/>
        <v>44505</v>
      </c>
      <c r="AG13" s="233"/>
      <c r="AH13" s="234"/>
      <c r="AI13" s="235">
        <f t="shared" si="3"/>
        <v>44535</v>
      </c>
      <c r="AJ13" s="233"/>
      <c r="AK13" s="234"/>
      <c r="AL13" s="235">
        <f t="shared" si="4"/>
        <v>44566</v>
      </c>
      <c r="AM13" s="233"/>
      <c r="AN13" s="234"/>
      <c r="AO13" s="440"/>
      <c r="AP13" s="436"/>
      <c r="AQ13" s="440"/>
      <c r="AV13" s="511">
        <f>IF(AO19="綾川町・まんのう町",4,0)</f>
        <v>0</v>
      </c>
      <c r="AW13" s="511"/>
    </row>
    <row r="14" spans="2:50" s="8" customFormat="1" ht="13" x14ac:dyDescent="0.3">
      <c r="B14" s="229">
        <f t="shared" si="5"/>
        <v>44202</v>
      </c>
      <c r="C14" s="236"/>
      <c r="D14" s="237"/>
      <c r="E14" s="235">
        <f t="shared" si="6"/>
        <v>44233</v>
      </c>
      <c r="F14" s="233"/>
      <c r="G14" s="234"/>
      <c r="H14" s="235">
        <f t="shared" si="7"/>
        <v>44261</v>
      </c>
      <c r="I14" s="233"/>
      <c r="J14" s="234"/>
      <c r="K14" s="235">
        <f t="shared" si="1"/>
        <v>44292</v>
      </c>
      <c r="L14" s="233"/>
      <c r="M14" s="234"/>
      <c r="N14" s="235">
        <f t="shared" si="1"/>
        <v>44322</v>
      </c>
      <c r="O14" s="233"/>
      <c r="P14" s="234"/>
      <c r="Q14" s="270">
        <f t="shared" si="1"/>
        <v>44353</v>
      </c>
      <c r="R14" s="233"/>
      <c r="S14" s="234"/>
      <c r="T14" s="235">
        <f t="shared" si="1"/>
        <v>44383</v>
      </c>
      <c r="U14" s="233"/>
      <c r="V14" s="234"/>
      <c r="W14" s="235">
        <f t="shared" si="1"/>
        <v>44414</v>
      </c>
      <c r="X14" s="233"/>
      <c r="Y14" s="234"/>
      <c r="Z14" s="235">
        <f t="shared" si="1"/>
        <v>44445</v>
      </c>
      <c r="AA14" s="233"/>
      <c r="AB14" s="234"/>
      <c r="AC14" s="235">
        <f t="shared" si="1"/>
        <v>44475</v>
      </c>
      <c r="AD14" s="233"/>
      <c r="AE14" s="234"/>
      <c r="AF14" s="235">
        <f t="shared" si="2"/>
        <v>44506</v>
      </c>
      <c r="AG14" s="233"/>
      <c r="AH14" s="234"/>
      <c r="AI14" s="235">
        <f t="shared" si="3"/>
        <v>44536</v>
      </c>
      <c r="AJ14" s="233"/>
      <c r="AK14" s="234"/>
      <c r="AL14" s="235">
        <f t="shared" si="4"/>
        <v>44567</v>
      </c>
      <c r="AM14" s="233"/>
      <c r="AN14" s="234"/>
      <c r="AO14" s="440"/>
      <c r="AP14" s="436"/>
      <c r="AQ14" s="440"/>
      <c r="AV14" s="511" t="s">
        <v>185</v>
      </c>
      <c r="AW14" s="511"/>
    </row>
    <row r="15" spans="2:50" s="8" customFormat="1" ht="13" x14ac:dyDescent="0.3">
      <c r="B15" s="229">
        <f t="shared" si="5"/>
        <v>44203</v>
      </c>
      <c r="C15" s="236"/>
      <c r="D15" s="237"/>
      <c r="E15" s="235">
        <f t="shared" si="6"/>
        <v>44234</v>
      </c>
      <c r="F15" s="233"/>
      <c r="G15" s="234"/>
      <c r="H15" s="235">
        <f t="shared" si="7"/>
        <v>44262</v>
      </c>
      <c r="I15" s="233"/>
      <c r="J15" s="234"/>
      <c r="K15" s="235">
        <f t="shared" si="1"/>
        <v>44293</v>
      </c>
      <c r="L15" s="233"/>
      <c r="M15" s="234"/>
      <c r="N15" s="235">
        <f t="shared" si="1"/>
        <v>44323</v>
      </c>
      <c r="O15" s="233"/>
      <c r="P15" s="234"/>
      <c r="Q15" s="270">
        <f t="shared" si="1"/>
        <v>44354</v>
      </c>
      <c r="R15" s="233"/>
      <c r="S15" s="234"/>
      <c r="T15" s="235">
        <f t="shared" si="1"/>
        <v>44384</v>
      </c>
      <c r="U15" s="233"/>
      <c r="V15" s="234"/>
      <c r="W15" s="235">
        <f t="shared" si="1"/>
        <v>44415</v>
      </c>
      <c r="X15" s="233"/>
      <c r="Y15" s="234"/>
      <c r="Z15" s="235">
        <f t="shared" si="1"/>
        <v>44446</v>
      </c>
      <c r="AA15" s="233"/>
      <c r="AB15" s="234"/>
      <c r="AC15" s="235">
        <f t="shared" si="1"/>
        <v>44476</v>
      </c>
      <c r="AD15" s="233"/>
      <c r="AE15" s="234"/>
      <c r="AF15" s="235">
        <f t="shared" si="2"/>
        <v>44507</v>
      </c>
      <c r="AG15" s="233"/>
      <c r="AH15" s="234"/>
      <c r="AI15" s="235">
        <f t="shared" si="3"/>
        <v>44537</v>
      </c>
      <c r="AJ15" s="233"/>
      <c r="AK15" s="234"/>
      <c r="AL15" s="235">
        <f t="shared" si="4"/>
        <v>44568</v>
      </c>
      <c r="AM15" s="233"/>
      <c r="AN15" s="234"/>
      <c r="AO15" s="440"/>
      <c r="AP15" s="436"/>
      <c r="AQ15" s="440"/>
      <c r="AV15" s="511">
        <f>IF(AO19="直島町",11,0)</f>
        <v>0</v>
      </c>
      <c r="AW15" s="511"/>
    </row>
    <row r="16" spans="2:50" s="8" customFormat="1" ht="13" x14ac:dyDescent="0.3">
      <c r="B16" s="229">
        <f t="shared" si="5"/>
        <v>44204</v>
      </c>
      <c r="C16" s="236"/>
      <c r="D16" s="237"/>
      <c r="E16" s="235">
        <f t="shared" si="6"/>
        <v>44235</v>
      </c>
      <c r="F16" s="233"/>
      <c r="G16" s="234"/>
      <c r="H16" s="235">
        <f t="shared" si="7"/>
        <v>44263</v>
      </c>
      <c r="I16" s="233"/>
      <c r="J16" s="234"/>
      <c r="K16" s="235">
        <f t="shared" si="1"/>
        <v>44294</v>
      </c>
      <c r="L16" s="233"/>
      <c r="M16" s="234"/>
      <c r="N16" s="235">
        <f t="shared" si="1"/>
        <v>44324</v>
      </c>
      <c r="O16" s="233"/>
      <c r="P16" s="234"/>
      <c r="Q16" s="270">
        <f t="shared" si="1"/>
        <v>44355</v>
      </c>
      <c r="R16" s="233"/>
      <c r="S16" s="234"/>
      <c r="T16" s="235">
        <f t="shared" si="1"/>
        <v>44385</v>
      </c>
      <c r="U16" s="233"/>
      <c r="V16" s="234"/>
      <c r="W16" s="235">
        <f t="shared" si="1"/>
        <v>44416</v>
      </c>
      <c r="X16" s="233"/>
      <c r="Y16" s="234"/>
      <c r="Z16" s="235">
        <f t="shared" si="1"/>
        <v>44447</v>
      </c>
      <c r="AA16" s="233"/>
      <c r="AB16" s="234"/>
      <c r="AC16" s="235">
        <f t="shared" si="1"/>
        <v>44477</v>
      </c>
      <c r="AD16" s="233"/>
      <c r="AE16" s="234"/>
      <c r="AF16" s="235">
        <f t="shared" si="2"/>
        <v>44508</v>
      </c>
      <c r="AG16" s="233"/>
      <c r="AH16" s="234"/>
      <c r="AI16" s="235">
        <f t="shared" si="3"/>
        <v>44538</v>
      </c>
      <c r="AJ16" s="233"/>
      <c r="AK16" s="234"/>
      <c r="AL16" s="235">
        <f t="shared" si="4"/>
        <v>44569</v>
      </c>
      <c r="AM16" s="233"/>
      <c r="AN16" s="234"/>
      <c r="AO16" s="440"/>
      <c r="AP16" s="436"/>
      <c r="AQ16" s="440"/>
      <c r="AV16" s="511">
        <f>AV11+AV13+AV15</f>
        <v>20</v>
      </c>
      <c r="AW16" s="511"/>
    </row>
    <row r="17" spans="2:49" s="8" customFormat="1" ht="13" x14ac:dyDescent="0.3">
      <c r="B17" s="229">
        <f t="shared" si="5"/>
        <v>44205</v>
      </c>
      <c r="C17" s="236"/>
      <c r="D17" s="237"/>
      <c r="E17" s="235">
        <f t="shared" si="6"/>
        <v>44236</v>
      </c>
      <c r="F17" s="233"/>
      <c r="G17" s="234"/>
      <c r="H17" s="235">
        <f t="shared" si="7"/>
        <v>44264</v>
      </c>
      <c r="I17" s="233"/>
      <c r="J17" s="234"/>
      <c r="K17" s="235">
        <f t="shared" si="1"/>
        <v>44295</v>
      </c>
      <c r="L17" s="233"/>
      <c r="M17" s="234"/>
      <c r="N17" s="235">
        <f t="shared" si="1"/>
        <v>44325</v>
      </c>
      <c r="O17" s="233"/>
      <c r="P17" s="234"/>
      <c r="Q17" s="270">
        <f t="shared" si="1"/>
        <v>44356</v>
      </c>
      <c r="R17" s="233"/>
      <c r="S17" s="234"/>
      <c r="T17" s="235">
        <f t="shared" si="1"/>
        <v>44386</v>
      </c>
      <c r="U17" s="233"/>
      <c r="V17" s="234"/>
      <c r="W17" s="235">
        <f t="shared" si="1"/>
        <v>44417</v>
      </c>
      <c r="X17" s="233"/>
      <c r="Y17" s="234"/>
      <c r="Z17" s="235">
        <f t="shared" si="1"/>
        <v>44448</v>
      </c>
      <c r="AA17" s="233"/>
      <c r="AB17" s="234"/>
      <c r="AC17" s="235">
        <f t="shared" si="1"/>
        <v>44478</v>
      </c>
      <c r="AD17" s="233"/>
      <c r="AE17" s="234"/>
      <c r="AF17" s="235">
        <f t="shared" si="2"/>
        <v>44509</v>
      </c>
      <c r="AG17" s="233"/>
      <c r="AH17" s="234"/>
      <c r="AI17" s="235">
        <f t="shared" si="3"/>
        <v>44539</v>
      </c>
      <c r="AJ17" s="233"/>
      <c r="AK17" s="234"/>
      <c r="AL17" s="235">
        <f t="shared" si="4"/>
        <v>44570</v>
      </c>
      <c r="AM17" s="233"/>
      <c r="AN17" s="234"/>
      <c r="AO17" s="440"/>
      <c r="AP17" s="436"/>
      <c r="AQ17" s="440"/>
      <c r="AV17" s="511"/>
      <c r="AW17" s="511"/>
    </row>
    <row r="18" spans="2:49" s="8" customFormat="1" ht="13" x14ac:dyDescent="0.3">
      <c r="B18" s="229">
        <f t="shared" si="5"/>
        <v>44206</v>
      </c>
      <c r="C18" s="236"/>
      <c r="D18" s="237"/>
      <c r="E18" s="235">
        <f t="shared" si="6"/>
        <v>44237</v>
      </c>
      <c r="F18" s="233"/>
      <c r="G18" s="234"/>
      <c r="H18" s="235">
        <f t="shared" si="7"/>
        <v>44265</v>
      </c>
      <c r="I18" s="233"/>
      <c r="J18" s="234"/>
      <c r="K18" s="235">
        <f t="shared" si="1"/>
        <v>44296</v>
      </c>
      <c r="L18" s="233"/>
      <c r="M18" s="234"/>
      <c r="N18" s="235">
        <f t="shared" si="1"/>
        <v>44326</v>
      </c>
      <c r="O18" s="233"/>
      <c r="P18" s="234"/>
      <c r="Q18" s="270">
        <f t="shared" si="1"/>
        <v>44357</v>
      </c>
      <c r="R18" s="233"/>
      <c r="S18" s="234"/>
      <c r="T18" s="235">
        <f t="shared" si="1"/>
        <v>44387</v>
      </c>
      <c r="U18" s="233"/>
      <c r="V18" s="234"/>
      <c r="W18" s="235">
        <f t="shared" si="1"/>
        <v>44418</v>
      </c>
      <c r="X18" s="233"/>
      <c r="Y18" s="234"/>
      <c r="Z18" s="235">
        <f t="shared" si="1"/>
        <v>44449</v>
      </c>
      <c r="AA18" s="233"/>
      <c r="AB18" s="234"/>
      <c r="AC18" s="235">
        <f t="shared" si="1"/>
        <v>44479</v>
      </c>
      <c r="AD18" s="233"/>
      <c r="AE18" s="234"/>
      <c r="AF18" s="235">
        <f t="shared" si="2"/>
        <v>44510</v>
      </c>
      <c r="AG18" s="233"/>
      <c r="AH18" s="234"/>
      <c r="AI18" s="235">
        <f t="shared" si="3"/>
        <v>44540</v>
      </c>
      <c r="AJ18" s="233"/>
      <c r="AK18" s="234"/>
      <c r="AL18" s="235">
        <f t="shared" si="4"/>
        <v>44571</v>
      </c>
      <c r="AM18" s="233"/>
      <c r="AN18" s="234"/>
      <c r="AO18" s="440"/>
      <c r="AP18" s="436"/>
      <c r="AQ18" s="440"/>
      <c r="AV18" s="511" t="s">
        <v>186</v>
      </c>
      <c r="AW18" s="511"/>
    </row>
    <row r="19" spans="2:49" s="8" customFormat="1" ht="13" x14ac:dyDescent="0.3">
      <c r="B19" s="229">
        <f t="shared" si="5"/>
        <v>44207</v>
      </c>
      <c r="C19" s="236"/>
      <c r="D19" s="237"/>
      <c r="E19" s="235">
        <f t="shared" si="6"/>
        <v>44238</v>
      </c>
      <c r="F19" s="233"/>
      <c r="G19" s="234"/>
      <c r="H19" s="235">
        <f t="shared" si="7"/>
        <v>44266</v>
      </c>
      <c r="I19" s="233"/>
      <c r="J19" s="234"/>
      <c r="K19" s="235">
        <f t="shared" si="1"/>
        <v>44297</v>
      </c>
      <c r="L19" s="233"/>
      <c r="M19" s="234"/>
      <c r="N19" s="235">
        <f t="shared" si="1"/>
        <v>44327</v>
      </c>
      <c r="O19" s="233"/>
      <c r="P19" s="234"/>
      <c r="Q19" s="270">
        <f t="shared" si="1"/>
        <v>44358</v>
      </c>
      <c r="R19" s="233"/>
      <c r="S19" s="234"/>
      <c r="T19" s="235">
        <f t="shared" si="1"/>
        <v>44388</v>
      </c>
      <c r="U19" s="233"/>
      <c r="V19" s="234"/>
      <c r="W19" s="235">
        <f t="shared" si="1"/>
        <v>44419</v>
      </c>
      <c r="X19" s="233"/>
      <c r="Y19" s="234"/>
      <c r="Z19" s="235">
        <f t="shared" si="1"/>
        <v>44450</v>
      </c>
      <c r="AA19" s="233"/>
      <c r="AB19" s="234"/>
      <c r="AC19" s="235">
        <f t="shared" si="1"/>
        <v>44480</v>
      </c>
      <c r="AD19" s="233"/>
      <c r="AE19" s="234"/>
      <c r="AF19" s="235">
        <f t="shared" si="2"/>
        <v>44511</v>
      </c>
      <c r="AG19" s="233"/>
      <c r="AH19" s="234"/>
      <c r="AI19" s="235">
        <f t="shared" si="3"/>
        <v>44541</v>
      </c>
      <c r="AJ19" s="233"/>
      <c r="AK19" s="234"/>
      <c r="AL19" s="235">
        <f t="shared" si="4"/>
        <v>44572</v>
      </c>
      <c r="AM19" s="233"/>
      <c r="AN19" s="234"/>
      <c r="AO19" s="638"/>
      <c r="AP19" s="639"/>
      <c r="AQ19" s="640"/>
      <c r="AV19" s="511" t="s">
        <v>183</v>
      </c>
      <c r="AW19" s="511"/>
    </row>
    <row r="20" spans="2:49" s="8" customFormat="1" ht="13" x14ac:dyDescent="0.3">
      <c r="B20" s="229">
        <f t="shared" si="5"/>
        <v>44208</v>
      </c>
      <c r="C20" s="236"/>
      <c r="D20" s="237"/>
      <c r="E20" s="235">
        <f t="shared" si="6"/>
        <v>44239</v>
      </c>
      <c r="F20" s="233"/>
      <c r="G20" s="234"/>
      <c r="H20" s="235">
        <f t="shared" si="7"/>
        <v>44267</v>
      </c>
      <c r="I20" s="233"/>
      <c r="J20" s="234"/>
      <c r="K20" s="235">
        <f t="shared" si="1"/>
        <v>44298</v>
      </c>
      <c r="L20" s="233"/>
      <c r="M20" s="234"/>
      <c r="N20" s="235">
        <f t="shared" si="1"/>
        <v>44328</v>
      </c>
      <c r="O20" s="233"/>
      <c r="P20" s="234"/>
      <c r="Q20" s="270">
        <f t="shared" si="1"/>
        <v>44359</v>
      </c>
      <c r="R20" s="233"/>
      <c r="S20" s="234"/>
      <c r="T20" s="235">
        <f t="shared" si="1"/>
        <v>44389</v>
      </c>
      <c r="U20" s="233"/>
      <c r="V20" s="234"/>
      <c r="W20" s="235">
        <f t="shared" si="1"/>
        <v>44420</v>
      </c>
      <c r="X20" s="233"/>
      <c r="Y20" s="234"/>
      <c r="Z20" s="235">
        <f t="shared" si="1"/>
        <v>44451</v>
      </c>
      <c r="AA20" s="233"/>
      <c r="AB20" s="234"/>
      <c r="AC20" s="235">
        <f t="shared" si="1"/>
        <v>44481</v>
      </c>
      <c r="AD20" s="233"/>
      <c r="AE20" s="234"/>
      <c r="AF20" s="235">
        <f t="shared" si="2"/>
        <v>44512</v>
      </c>
      <c r="AG20" s="233"/>
      <c r="AH20" s="234"/>
      <c r="AI20" s="235">
        <f t="shared" si="3"/>
        <v>44542</v>
      </c>
      <c r="AJ20" s="233"/>
      <c r="AK20" s="234"/>
      <c r="AL20" s="235">
        <f t="shared" si="4"/>
        <v>44573</v>
      </c>
      <c r="AM20" s="233"/>
      <c r="AN20" s="234"/>
      <c r="AO20" s="641"/>
      <c r="AP20" s="642"/>
      <c r="AQ20" s="643"/>
      <c r="AV20" s="511">
        <f>COUNTIF(AM9:AM28,"○")</f>
        <v>0</v>
      </c>
      <c r="AW20" s="511"/>
    </row>
    <row r="21" spans="2:49" s="8" customFormat="1" ht="13" x14ac:dyDescent="0.3">
      <c r="B21" s="235">
        <f>B7+12</f>
        <v>44209</v>
      </c>
      <c r="C21" s="236"/>
      <c r="D21" s="237"/>
      <c r="E21" s="235">
        <f t="shared" si="6"/>
        <v>44240</v>
      </c>
      <c r="F21" s="233"/>
      <c r="G21" s="234"/>
      <c r="H21" s="235">
        <f t="shared" si="7"/>
        <v>44268</v>
      </c>
      <c r="I21" s="233"/>
      <c r="J21" s="234"/>
      <c r="K21" s="235">
        <f t="shared" si="1"/>
        <v>44299</v>
      </c>
      <c r="L21" s="233"/>
      <c r="M21" s="234"/>
      <c r="N21" s="235">
        <f t="shared" si="1"/>
        <v>44329</v>
      </c>
      <c r="O21" s="233"/>
      <c r="P21" s="234"/>
      <c r="Q21" s="270">
        <f t="shared" si="1"/>
        <v>44360</v>
      </c>
      <c r="R21" s="233"/>
      <c r="S21" s="234"/>
      <c r="T21" s="235">
        <f t="shared" si="1"/>
        <v>44390</v>
      </c>
      <c r="U21" s="233"/>
      <c r="V21" s="234"/>
      <c r="W21" s="235">
        <f t="shared" si="1"/>
        <v>44421</v>
      </c>
      <c r="X21" s="233"/>
      <c r="Y21" s="234"/>
      <c r="Z21" s="235">
        <f t="shared" si="1"/>
        <v>44452</v>
      </c>
      <c r="AA21" s="233"/>
      <c r="AB21" s="234"/>
      <c r="AC21" s="235">
        <f t="shared" si="1"/>
        <v>44482</v>
      </c>
      <c r="AD21" s="233"/>
      <c r="AE21" s="234"/>
      <c r="AF21" s="235">
        <f t="shared" si="2"/>
        <v>44513</v>
      </c>
      <c r="AG21" s="233"/>
      <c r="AH21" s="234"/>
      <c r="AI21" s="235">
        <f t="shared" si="3"/>
        <v>44543</v>
      </c>
      <c r="AJ21" s="233"/>
      <c r="AK21" s="234"/>
      <c r="AL21" s="235">
        <f t="shared" si="4"/>
        <v>44574</v>
      </c>
      <c r="AM21" s="233"/>
      <c r="AN21" s="234"/>
      <c r="AO21" s="644"/>
      <c r="AP21" s="645"/>
      <c r="AQ21" s="646"/>
      <c r="AV21" s="511" t="s">
        <v>184</v>
      </c>
      <c r="AW21" s="511"/>
    </row>
    <row r="22" spans="2:49" s="8" customFormat="1" x14ac:dyDescent="0.3">
      <c r="B22" s="235">
        <f t="shared" ref="B22:B36" si="8">B21+1</f>
        <v>44210</v>
      </c>
      <c r="C22" s="236"/>
      <c r="D22" s="237"/>
      <c r="E22" s="235">
        <f t="shared" si="6"/>
        <v>44241</v>
      </c>
      <c r="F22" s="233"/>
      <c r="G22" s="234"/>
      <c r="H22" s="235">
        <f t="shared" si="7"/>
        <v>44269</v>
      </c>
      <c r="I22" s="233"/>
      <c r="J22" s="234"/>
      <c r="K22" s="235">
        <f t="shared" si="1"/>
        <v>44300</v>
      </c>
      <c r="L22" s="233"/>
      <c r="M22" s="234"/>
      <c r="N22" s="235">
        <f t="shared" si="1"/>
        <v>44330</v>
      </c>
      <c r="O22" s="233"/>
      <c r="P22" s="234"/>
      <c r="Q22" s="270">
        <f t="shared" si="1"/>
        <v>44361</v>
      </c>
      <c r="R22" s="233"/>
      <c r="S22" s="234"/>
      <c r="T22" s="235">
        <f t="shared" si="1"/>
        <v>44391</v>
      </c>
      <c r="U22" s="233"/>
      <c r="V22" s="234"/>
      <c r="W22" s="235">
        <f t="shared" si="1"/>
        <v>44422</v>
      </c>
      <c r="X22" s="233"/>
      <c r="Y22" s="234"/>
      <c r="Z22" s="235">
        <f t="shared" si="1"/>
        <v>44453</v>
      </c>
      <c r="AA22" s="233"/>
      <c r="AB22" s="234"/>
      <c r="AC22" s="235">
        <f t="shared" si="1"/>
        <v>44483</v>
      </c>
      <c r="AD22" s="233"/>
      <c r="AE22" s="234"/>
      <c r="AF22" s="235">
        <f t="shared" si="2"/>
        <v>44514</v>
      </c>
      <c r="AG22" s="233"/>
      <c r="AH22" s="234"/>
      <c r="AI22" s="235">
        <f t="shared" si="3"/>
        <v>44544</v>
      </c>
      <c r="AJ22" s="233"/>
      <c r="AK22" s="234"/>
      <c r="AL22" s="235">
        <f t="shared" si="4"/>
        <v>44575</v>
      </c>
      <c r="AM22" s="233"/>
      <c r="AN22" s="234"/>
      <c r="AO22" s="440"/>
      <c r="AP22" s="74"/>
      <c r="AQ22" s="440"/>
      <c r="AV22" s="511">
        <f>IF(AO19="綾川町・まんのう町",COUNTIF(AM29:AM32,"○"),0)</f>
        <v>0</v>
      </c>
      <c r="AW22" s="511"/>
    </row>
    <row r="23" spans="2:49" s="8" customFormat="1" x14ac:dyDescent="0.3">
      <c r="B23" s="235">
        <f t="shared" si="8"/>
        <v>44211</v>
      </c>
      <c r="C23" s="236"/>
      <c r="D23" s="237"/>
      <c r="E23" s="235">
        <f t="shared" si="6"/>
        <v>44242</v>
      </c>
      <c r="F23" s="233"/>
      <c r="G23" s="234"/>
      <c r="H23" s="235">
        <f t="shared" si="7"/>
        <v>44270</v>
      </c>
      <c r="I23" s="233"/>
      <c r="J23" s="234"/>
      <c r="K23" s="235">
        <f t="shared" si="1"/>
        <v>44301</v>
      </c>
      <c r="L23" s="233"/>
      <c r="M23" s="234"/>
      <c r="N23" s="235">
        <f t="shared" si="1"/>
        <v>44331</v>
      </c>
      <c r="O23" s="233"/>
      <c r="P23" s="234"/>
      <c r="Q23" s="270">
        <f t="shared" si="1"/>
        <v>44362</v>
      </c>
      <c r="R23" s="233"/>
      <c r="S23" s="234"/>
      <c r="T23" s="235">
        <f t="shared" si="1"/>
        <v>44392</v>
      </c>
      <c r="U23" s="233"/>
      <c r="V23" s="234"/>
      <c r="W23" s="235">
        <f t="shared" si="1"/>
        <v>44423</v>
      </c>
      <c r="X23" s="233"/>
      <c r="Y23" s="234"/>
      <c r="Z23" s="235">
        <f t="shared" si="1"/>
        <v>44454</v>
      </c>
      <c r="AA23" s="233"/>
      <c r="AB23" s="234"/>
      <c r="AC23" s="235">
        <f t="shared" si="1"/>
        <v>44484</v>
      </c>
      <c r="AD23" s="233"/>
      <c r="AE23" s="234"/>
      <c r="AF23" s="235">
        <f t="shared" si="2"/>
        <v>44515</v>
      </c>
      <c r="AG23" s="233"/>
      <c r="AH23" s="234"/>
      <c r="AI23" s="235">
        <f t="shared" si="3"/>
        <v>44545</v>
      </c>
      <c r="AJ23" s="233"/>
      <c r="AK23" s="234"/>
      <c r="AL23" s="235">
        <f t="shared" si="4"/>
        <v>44576</v>
      </c>
      <c r="AM23" s="233"/>
      <c r="AN23" s="234"/>
      <c r="AO23" s="440"/>
      <c r="AP23" s="74"/>
      <c r="AQ23" s="440"/>
      <c r="AV23" s="511" t="s">
        <v>187</v>
      </c>
      <c r="AW23" s="511"/>
    </row>
    <row r="24" spans="2:49" s="8" customFormat="1" x14ac:dyDescent="0.3">
      <c r="B24" s="235">
        <f t="shared" si="8"/>
        <v>44212</v>
      </c>
      <c r="C24" s="236"/>
      <c r="D24" s="237"/>
      <c r="E24" s="235">
        <f t="shared" si="6"/>
        <v>44243</v>
      </c>
      <c r="F24" s="233"/>
      <c r="G24" s="234"/>
      <c r="H24" s="235">
        <f t="shared" si="7"/>
        <v>44271</v>
      </c>
      <c r="I24" s="233"/>
      <c r="J24" s="234"/>
      <c r="K24" s="235">
        <f t="shared" si="1"/>
        <v>44302</v>
      </c>
      <c r="L24" s="233"/>
      <c r="M24" s="234"/>
      <c r="N24" s="235">
        <f t="shared" si="1"/>
        <v>44332</v>
      </c>
      <c r="O24" s="233"/>
      <c r="P24" s="234"/>
      <c r="Q24" s="270">
        <f t="shared" si="1"/>
        <v>44363</v>
      </c>
      <c r="R24" s="233"/>
      <c r="S24" s="234"/>
      <c r="T24" s="235">
        <f t="shared" si="1"/>
        <v>44393</v>
      </c>
      <c r="U24" s="233"/>
      <c r="V24" s="234"/>
      <c r="W24" s="235">
        <f t="shared" si="1"/>
        <v>44424</v>
      </c>
      <c r="X24" s="233"/>
      <c r="Y24" s="234"/>
      <c r="Z24" s="235">
        <f t="shared" si="1"/>
        <v>44455</v>
      </c>
      <c r="AA24" s="233"/>
      <c r="AB24" s="234"/>
      <c r="AC24" s="235">
        <f t="shared" si="1"/>
        <v>44485</v>
      </c>
      <c r="AD24" s="233"/>
      <c r="AE24" s="234"/>
      <c r="AF24" s="235">
        <f t="shared" si="2"/>
        <v>44516</v>
      </c>
      <c r="AG24" s="233"/>
      <c r="AH24" s="234"/>
      <c r="AI24" s="235">
        <f t="shared" si="3"/>
        <v>44546</v>
      </c>
      <c r="AJ24" s="233"/>
      <c r="AK24" s="234"/>
      <c r="AL24" s="235">
        <f t="shared" si="4"/>
        <v>44577</v>
      </c>
      <c r="AM24" s="233"/>
      <c r="AN24" s="234"/>
      <c r="AO24" s="440"/>
      <c r="AP24" s="74"/>
      <c r="AQ24" s="440"/>
      <c r="AV24" s="511">
        <f>IF(AO19="直島町",COUNTIF(AM29:AM39,"○"),0)</f>
        <v>0</v>
      </c>
      <c r="AW24" s="511"/>
    </row>
    <row r="25" spans="2:49" s="8" customFormat="1" x14ac:dyDescent="0.3">
      <c r="B25" s="235">
        <f t="shared" si="8"/>
        <v>44213</v>
      </c>
      <c r="C25" s="236"/>
      <c r="D25" s="237"/>
      <c r="E25" s="235">
        <f t="shared" si="6"/>
        <v>44244</v>
      </c>
      <c r="F25" s="233"/>
      <c r="G25" s="234"/>
      <c r="H25" s="235">
        <f t="shared" si="7"/>
        <v>44272</v>
      </c>
      <c r="I25" s="233"/>
      <c r="J25" s="234"/>
      <c r="K25" s="235">
        <f t="shared" si="1"/>
        <v>44303</v>
      </c>
      <c r="L25" s="233"/>
      <c r="M25" s="234"/>
      <c r="N25" s="235">
        <f t="shared" si="1"/>
        <v>44333</v>
      </c>
      <c r="O25" s="233"/>
      <c r="P25" s="234"/>
      <c r="Q25" s="270">
        <f t="shared" si="1"/>
        <v>44364</v>
      </c>
      <c r="R25" s="233"/>
      <c r="S25" s="234"/>
      <c r="T25" s="235">
        <f t="shared" si="1"/>
        <v>44394</v>
      </c>
      <c r="U25" s="233"/>
      <c r="V25" s="234"/>
      <c r="W25" s="235">
        <f t="shared" si="1"/>
        <v>44425</v>
      </c>
      <c r="X25" s="233"/>
      <c r="Y25" s="234"/>
      <c r="Z25" s="235">
        <f t="shared" si="1"/>
        <v>44456</v>
      </c>
      <c r="AA25" s="233"/>
      <c r="AB25" s="234"/>
      <c r="AC25" s="235">
        <f t="shared" si="1"/>
        <v>44486</v>
      </c>
      <c r="AD25" s="233"/>
      <c r="AE25" s="234"/>
      <c r="AF25" s="235">
        <f t="shared" si="2"/>
        <v>44517</v>
      </c>
      <c r="AG25" s="233"/>
      <c r="AH25" s="234"/>
      <c r="AI25" s="235">
        <f t="shared" si="3"/>
        <v>44547</v>
      </c>
      <c r="AJ25" s="233"/>
      <c r="AK25" s="234"/>
      <c r="AL25" s="235">
        <f t="shared" si="4"/>
        <v>44578</v>
      </c>
      <c r="AM25" s="233"/>
      <c r="AN25" s="234"/>
      <c r="AO25" s="440"/>
      <c r="AP25" s="74"/>
      <c r="AQ25" s="440"/>
      <c r="AV25" s="511">
        <f>AV20+AV22+AV24</f>
        <v>0</v>
      </c>
      <c r="AW25" s="511"/>
    </row>
    <row r="26" spans="2:49" s="8" customFormat="1" x14ac:dyDescent="0.3">
      <c r="B26" s="235">
        <f t="shared" si="8"/>
        <v>44214</v>
      </c>
      <c r="C26" s="236"/>
      <c r="D26" s="237"/>
      <c r="E26" s="235">
        <f t="shared" si="6"/>
        <v>44245</v>
      </c>
      <c r="F26" s="233"/>
      <c r="G26" s="234"/>
      <c r="H26" s="235">
        <f t="shared" si="7"/>
        <v>44273</v>
      </c>
      <c r="I26" s="233"/>
      <c r="J26" s="234"/>
      <c r="K26" s="235">
        <f t="shared" ref="K26:K36" si="9">K25+1</f>
        <v>44304</v>
      </c>
      <c r="L26" s="233"/>
      <c r="M26" s="234"/>
      <c r="N26" s="235">
        <f t="shared" ref="N26:N36" si="10">N25+1</f>
        <v>44334</v>
      </c>
      <c r="O26" s="233"/>
      <c r="P26" s="234"/>
      <c r="Q26" s="270">
        <f t="shared" ref="Q26:Q36" si="11">Q25+1</f>
        <v>44365</v>
      </c>
      <c r="R26" s="233"/>
      <c r="S26" s="234"/>
      <c r="T26" s="235">
        <f t="shared" ref="T26:T39" si="12">T25+1</f>
        <v>44395</v>
      </c>
      <c r="U26" s="233"/>
      <c r="V26" s="234"/>
      <c r="W26" s="235">
        <f t="shared" ref="W26:W36" si="13">W25+1</f>
        <v>44426</v>
      </c>
      <c r="X26" s="233"/>
      <c r="Y26" s="234"/>
      <c r="Z26" s="235">
        <f t="shared" ref="Z26:Z36" si="14">Z25+1</f>
        <v>44457</v>
      </c>
      <c r="AA26" s="233"/>
      <c r="AB26" s="234"/>
      <c r="AC26" s="235">
        <f t="shared" ref="AC26:AC36" si="15">AC25+1</f>
        <v>44487</v>
      </c>
      <c r="AD26" s="233"/>
      <c r="AE26" s="234"/>
      <c r="AF26" s="235">
        <f t="shared" si="2"/>
        <v>44518</v>
      </c>
      <c r="AG26" s="233"/>
      <c r="AH26" s="234"/>
      <c r="AI26" s="235">
        <f t="shared" si="3"/>
        <v>44548</v>
      </c>
      <c r="AJ26" s="233"/>
      <c r="AK26" s="234"/>
      <c r="AL26" s="235">
        <f t="shared" si="4"/>
        <v>44579</v>
      </c>
      <c r="AM26" s="233"/>
      <c r="AN26" s="234"/>
      <c r="AO26" s="440"/>
      <c r="AP26" s="74"/>
      <c r="AQ26" s="440"/>
      <c r="AV26" s="511"/>
      <c r="AW26" s="511"/>
    </row>
    <row r="27" spans="2:49" s="8" customFormat="1" x14ac:dyDescent="0.3">
      <c r="B27" s="235">
        <f t="shared" si="8"/>
        <v>44215</v>
      </c>
      <c r="C27" s="236"/>
      <c r="D27" s="237"/>
      <c r="E27" s="235">
        <f t="shared" si="6"/>
        <v>44246</v>
      </c>
      <c r="F27" s="233"/>
      <c r="G27" s="234"/>
      <c r="H27" s="235">
        <f t="shared" si="7"/>
        <v>44274</v>
      </c>
      <c r="I27" s="233"/>
      <c r="J27" s="234"/>
      <c r="K27" s="235">
        <f t="shared" si="9"/>
        <v>44305</v>
      </c>
      <c r="L27" s="233"/>
      <c r="M27" s="234"/>
      <c r="N27" s="235">
        <f t="shared" si="10"/>
        <v>44335</v>
      </c>
      <c r="O27" s="233"/>
      <c r="P27" s="234"/>
      <c r="Q27" s="270">
        <f t="shared" si="11"/>
        <v>44366</v>
      </c>
      <c r="R27" s="233"/>
      <c r="S27" s="234"/>
      <c r="T27" s="235">
        <f t="shared" si="12"/>
        <v>44396</v>
      </c>
      <c r="U27" s="233"/>
      <c r="V27" s="234"/>
      <c r="W27" s="235">
        <f t="shared" si="13"/>
        <v>44427</v>
      </c>
      <c r="X27" s="233"/>
      <c r="Y27" s="234"/>
      <c r="Z27" s="235">
        <f t="shared" si="14"/>
        <v>44458</v>
      </c>
      <c r="AA27" s="233"/>
      <c r="AB27" s="234"/>
      <c r="AC27" s="235">
        <f t="shared" si="15"/>
        <v>44488</v>
      </c>
      <c r="AD27" s="233"/>
      <c r="AE27" s="234"/>
      <c r="AF27" s="235">
        <f t="shared" si="2"/>
        <v>44519</v>
      </c>
      <c r="AG27" s="233"/>
      <c r="AH27" s="234"/>
      <c r="AI27" s="235">
        <f t="shared" si="3"/>
        <v>44549</v>
      </c>
      <c r="AJ27" s="233"/>
      <c r="AK27" s="234"/>
      <c r="AL27" s="235">
        <f t="shared" si="4"/>
        <v>44580</v>
      </c>
      <c r="AM27" s="233"/>
      <c r="AN27" s="234"/>
      <c r="AO27" s="440"/>
      <c r="AP27" s="74"/>
      <c r="AQ27" s="440"/>
      <c r="AV27" s="511" t="s">
        <v>188</v>
      </c>
      <c r="AW27" s="511"/>
    </row>
    <row r="28" spans="2:49" s="8" customFormat="1" ht="14" thickBot="1" x14ac:dyDescent="0.35">
      <c r="B28" s="235">
        <f t="shared" si="8"/>
        <v>44216</v>
      </c>
      <c r="C28" s="236"/>
      <c r="D28" s="237"/>
      <c r="E28" s="235">
        <f t="shared" si="6"/>
        <v>44247</v>
      </c>
      <c r="F28" s="233"/>
      <c r="G28" s="234"/>
      <c r="H28" s="235">
        <f t="shared" si="7"/>
        <v>44275</v>
      </c>
      <c r="I28" s="233"/>
      <c r="J28" s="234"/>
      <c r="K28" s="235">
        <f t="shared" si="9"/>
        <v>44306</v>
      </c>
      <c r="L28" s="233"/>
      <c r="M28" s="234"/>
      <c r="N28" s="235">
        <f t="shared" si="10"/>
        <v>44336</v>
      </c>
      <c r="O28" s="233"/>
      <c r="P28" s="234"/>
      <c r="Q28" s="270">
        <f t="shared" si="11"/>
        <v>44367</v>
      </c>
      <c r="R28" s="233"/>
      <c r="S28" s="234"/>
      <c r="T28" s="235">
        <f t="shared" si="12"/>
        <v>44397</v>
      </c>
      <c r="U28" s="233"/>
      <c r="V28" s="234"/>
      <c r="W28" s="235">
        <f t="shared" si="13"/>
        <v>44428</v>
      </c>
      <c r="X28" s="233"/>
      <c r="Y28" s="234"/>
      <c r="Z28" s="235">
        <f t="shared" si="14"/>
        <v>44459</v>
      </c>
      <c r="AA28" s="233"/>
      <c r="AB28" s="234"/>
      <c r="AC28" s="235">
        <f t="shared" si="15"/>
        <v>44489</v>
      </c>
      <c r="AD28" s="233"/>
      <c r="AE28" s="234"/>
      <c r="AF28" s="235">
        <f t="shared" si="2"/>
        <v>44520</v>
      </c>
      <c r="AG28" s="233"/>
      <c r="AH28" s="234"/>
      <c r="AI28" s="235">
        <f t="shared" si="3"/>
        <v>44550</v>
      </c>
      <c r="AJ28" s="233"/>
      <c r="AK28" s="234"/>
      <c r="AL28" s="402">
        <f t="shared" si="4"/>
        <v>44581</v>
      </c>
      <c r="AM28" s="233"/>
      <c r="AN28" s="403"/>
      <c r="AO28" s="440"/>
      <c r="AP28" s="74"/>
      <c r="AQ28" s="440"/>
      <c r="AV28" s="511" t="s">
        <v>183</v>
      </c>
      <c r="AW28" s="511"/>
    </row>
    <row r="29" spans="2:49" s="8" customFormat="1" ht="14" thickTop="1" x14ac:dyDescent="0.3">
      <c r="B29" s="235">
        <f t="shared" si="8"/>
        <v>44217</v>
      </c>
      <c r="C29" s="236"/>
      <c r="D29" s="237"/>
      <c r="E29" s="235">
        <f t="shared" si="6"/>
        <v>44248</v>
      </c>
      <c r="F29" s="233"/>
      <c r="G29" s="234"/>
      <c r="H29" s="235">
        <f t="shared" si="7"/>
        <v>44276</v>
      </c>
      <c r="I29" s="233"/>
      <c r="J29" s="234"/>
      <c r="K29" s="235">
        <f t="shared" si="9"/>
        <v>44307</v>
      </c>
      <c r="L29" s="233"/>
      <c r="M29" s="234"/>
      <c r="N29" s="235">
        <f t="shared" si="10"/>
        <v>44337</v>
      </c>
      <c r="O29" s="233"/>
      <c r="P29" s="234"/>
      <c r="Q29" s="270">
        <f t="shared" si="11"/>
        <v>44368</v>
      </c>
      <c r="R29" s="233"/>
      <c r="S29" s="234"/>
      <c r="T29" s="235">
        <f t="shared" si="12"/>
        <v>44398</v>
      </c>
      <c r="U29" s="233"/>
      <c r="V29" s="234"/>
      <c r="W29" s="235">
        <f t="shared" si="13"/>
        <v>44429</v>
      </c>
      <c r="X29" s="233"/>
      <c r="Y29" s="234"/>
      <c r="Z29" s="235">
        <f t="shared" si="14"/>
        <v>44460</v>
      </c>
      <c r="AA29" s="233"/>
      <c r="AB29" s="234"/>
      <c r="AC29" s="235">
        <f t="shared" si="15"/>
        <v>44490</v>
      </c>
      <c r="AD29" s="233"/>
      <c r="AE29" s="234"/>
      <c r="AF29" s="235">
        <f t="shared" si="2"/>
        <v>44521</v>
      </c>
      <c r="AG29" s="233"/>
      <c r="AH29" s="234"/>
      <c r="AI29" s="235">
        <f t="shared" si="3"/>
        <v>44551</v>
      </c>
      <c r="AJ29" s="233"/>
      <c r="AK29" s="234"/>
      <c r="AL29" s="404">
        <f t="shared" si="4"/>
        <v>44582</v>
      </c>
      <c r="AM29" s="233"/>
      <c r="AN29" s="405"/>
      <c r="AO29" s="440"/>
      <c r="AP29" s="74"/>
      <c r="AQ29" s="440"/>
      <c r="AV29" s="529">
        <f>SUM(AN9:AN28)</f>
        <v>0</v>
      </c>
      <c r="AW29" s="511"/>
    </row>
    <row r="30" spans="2:49" s="8" customFormat="1" x14ac:dyDescent="0.3">
      <c r="B30" s="235">
        <f t="shared" si="8"/>
        <v>44218</v>
      </c>
      <c r="C30" s="236"/>
      <c r="D30" s="237"/>
      <c r="E30" s="235">
        <f t="shared" si="6"/>
        <v>44249</v>
      </c>
      <c r="F30" s="233"/>
      <c r="G30" s="234"/>
      <c r="H30" s="235">
        <f t="shared" si="7"/>
        <v>44277</v>
      </c>
      <c r="I30" s="233"/>
      <c r="J30" s="234"/>
      <c r="K30" s="235">
        <f t="shared" si="9"/>
        <v>44308</v>
      </c>
      <c r="L30" s="233"/>
      <c r="M30" s="234"/>
      <c r="N30" s="235">
        <f t="shared" si="10"/>
        <v>44338</v>
      </c>
      <c r="O30" s="233"/>
      <c r="P30" s="234"/>
      <c r="Q30" s="270">
        <f t="shared" si="11"/>
        <v>44369</v>
      </c>
      <c r="R30" s="233"/>
      <c r="S30" s="234"/>
      <c r="T30" s="235">
        <f t="shared" si="12"/>
        <v>44399</v>
      </c>
      <c r="U30" s="233"/>
      <c r="V30" s="234"/>
      <c r="W30" s="235">
        <f t="shared" si="13"/>
        <v>44430</v>
      </c>
      <c r="X30" s="233"/>
      <c r="Y30" s="234"/>
      <c r="Z30" s="235">
        <f t="shared" si="14"/>
        <v>44461</v>
      </c>
      <c r="AA30" s="233"/>
      <c r="AB30" s="234"/>
      <c r="AC30" s="235">
        <f t="shared" si="15"/>
        <v>44491</v>
      </c>
      <c r="AD30" s="233"/>
      <c r="AE30" s="234"/>
      <c r="AF30" s="235">
        <f t="shared" si="2"/>
        <v>44522</v>
      </c>
      <c r="AG30" s="233"/>
      <c r="AH30" s="234"/>
      <c r="AI30" s="235">
        <f t="shared" si="3"/>
        <v>44552</v>
      </c>
      <c r="AJ30" s="233"/>
      <c r="AK30" s="234"/>
      <c r="AL30" s="229">
        <f t="shared" si="4"/>
        <v>44583</v>
      </c>
      <c r="AM30" s="233"/>
      <c r="AN30" s="383"/>
      <c r="AO30" s="440"/>
      <c r="AP30" s="74"/>
      <c r="AQ30" s="440"/>
      <c r="AV30" s="511" t="s">
        <v>184</v>
      </c>
      <c r="AW30" s="511"/>
    </row>
    <row r="31" spans="2:49" s="8" customFormat="1" x14ac:dyDescent="0.3">
      <c r="B31" s="235">
        <f t="shared" si="8"/>
        <v>44219</v>
      </c>
      <c r="C31" s="236"/>
      <c r="D31" s="237"/>
      <c r="E31" s="235">
        <f t="shared" si="6"/>
        <v>44250</v>
      </c>
      <c r="F31" s="233"/>
      <c r="G31" s="234"/>
      <c r="H31" s="235">
        <f t="shared" si="7"/>
        <v>44278</v>
      </c>
      <c r="I31" s="233"/>
      <c r="J31" s="234"/>
      <c r="K31" s="235">
        <f t="shared" si="9"/>
        <v>44309</v>
      </c>
      <c r="L31" s="233"/>
      <c r="M31" s="234"/>
      <c r="N31" s="235">
        <f t="shared" si="10"/>
        <v>44339</v>
      </c>
      <c r="O31" s="233"/>
      <c r="P31" s="234"/>
      <c r="Q31" s="270">
        <f t="shared" si="11"/>
        <v>44370</v>
      </c>
      <c r="R31" s="233"/>
      <c r="S31" s="234"/>
      <c r="T31" s="235">
        <f t="shared" si="12"/>
        <v>44400</v>
      </c>
      <c r="U31" s="233"/>
      <c r="V31" s="234"/>
      <c r="W31" s="235">
        <f t="shared" si="13"/>
        <v>44431</v>
      </c>
      <c r="X31" s="233"/>
      <c r="Y31" s="234"/>
      <c r="Z31" s="235">
        <f t="shared" si="14"/>
        <v>44462</v>
      </c>
      <c r="AA31" s="233"/>
      <c r="AB31" s="234"/>
      <c r="AC31" s="235">
        <f t="shared" si="15"/>
        <v>44492</v>
      </c>
      <c r="AD31" s="233"/>
      <c r="AE31" s="234"/>
      <c r="AF31" s="235">
        <f t="shared" si="2"/>
        <v>44523</v>
      </c>
      <c r="AG31" s="233"/>
      <c r="AH31" s="234"/>
      <c r="AI31" s="235">
        <f t="shared" si="3"/>
        <v>44553</v>
      </c>
      <c r="AJ31" s="233"/>
      <c r="AK31" s="234"/>
      <c r="AL31" s="235">
        <f t="shared" si="4"/>
        <v>44584</v>
      </c>
      <c r="AM31" s="233"/>
      <c r="AN31" s="234"/>
      <c r="AO31" s="440"/>
      <c r="AP31" s="74"/>
      <c r="AQ31" s="440"/>
      <c r="AV31" s="511">
        <f>IF(AO19="綾川町・まんのう町",SUM(AN29:AN32),0)</f>
        <v>0</v>
      </c>
      <c r="AW31" s="511"/>
    </row>
    <row r="32" spans="2:49" s="8" customFormat="1" ht="14" thickBot="1" x14ac:dyDescent="0.35">
      <c r="B32" s="235">
        <f t="shared" si="8"/>
        <v>44220</v>
      </c>
      <c r="C32" s="236"/>
      <c r="D32" s="237"/>
      <c r="E32" s="235">
        <f t="shared" si="6"/>
        <v>44251</v>
      </c>
      <c r="F32" s="233"/>
      <c r="G32" s="234"/>
      <c r="H32" s="235">
        <f t="shared" si="7"/>
        <v>44279</v>
      </c>
      <c r="I32" s="233"/>
      <c r="J32" s="234"/>
      <c r="K32" s="235">
        <f t="shared" si="9"/>
        <v>44310</v>
      </c>
      <c r="L32" s="233"/>
      <c r="M32" s="234"/>
      <c r="N32" s="235">
        <f t="shared" si="10"/>
        <v>44340</v>
      </c>
      <c r="O32" s="233"/>
      <c r="P32" s="234"/>
      <c r="Q32" s="270">
        <f t="shared" si="11"/>
        <v>44371</v>
      </c>
      <c r="R32" s="233"/>
      <c r="S32" s="234"/>
      <c r="T32" s="235">
        <f t="shared" si="12"/>
        <v>44401</v>
      </c>
      <c r="U32" s="233"/>
      <c r="V32" s="234"/>
      <c r="W32" s="235">
        <f t="shared" si="13"/>
        <v>44432</v>
      </c>
      <c r="X32" s="233"/>
      <c r="Y32" s="234"/>
      <c r="Z32" s="235">
        <f t="shared" si="14"/>
        <v>44463</v>
      </c>
      <c r="AA32" s="233"/>
      <c r="AB32" s="234"/>
      <c r="AC32" s="235">
        <f t="shared" si="15"/>
        <v>44493</v>
      </c>
      <c r="AD32" s="233"/>
      <c r="AE32" s="234"/>
      <c r="AF32" s="235">
        <f t="shared" si="2"/>
        <v>44524</v>
      </c>
      <c r="AG32" s="233"/>
      <c r="AH32" s="234"/>
      <c r="AI32" s="235">
        <f t="shared" si="3"/>
        <v>44554</v>
      </c>
      <c r="AJ32" s="233"/>
      <c r="AK32" s="234"/>
      <c r="AL32" s="402">
        <f t="shared" si="4"/>
        <v>44585</v>
      </c>
      <c r="AM32" s="233"/>
      <c r="AN32" s="403"/>
      <c r="AO32" s="440"/>
      <c r="AP32" s="74"/>
      <c r="AQ32" s="440"/>
      <c r="AV32" s="511" t="s">
        <v>187</v>
      </c>
      <c r="AW32" s="511"/>
    </row>
    <row r="33" spans="1:49" s="8" customFormat="1" ht="14" thickTop="1" x14ac:dyDescent="0.3">
      <c r="B33" s="235">
        <f t="shared" si="8"/>
        <v>44221</v>
      </c>
      <c r="C33" s="236"/>
      <c r="D33" s="237"/>
      <c r="E33" s="235">
        <f t="shared" si="6"/>
        <v>44252</v>
      </c>
      <c r="F33" s="233"/>
      <c r="G33" s="234"/>
      <c r="H33" s="235">
        <f t="shared" si="7"/>
        <v>44280</v>
      </c>
      <c r="I33" s="233"/>
      <c r="J33" s="234"/>
      <c r="K33" s="235">
        <f t="shared" si="9"/>
        <v>44311</v>
      </c>
      <c r="L33" s="233"/>
      <c r="M33" s="234"/>
      <c r="N33" s="235">
        <f t="shared" si="10"/>
        <v>44341</v>
      </c>
      <c r="O33" s="233"/>
      <c r="P33" s="234"/>
      <c r="Q33" s="270">
        <f t="shared" si="11"/>
        <v>44372</v>
      </c>
      <c r="R33" s="233"/>
      <c r="S33" s="234"/>
      <c r="T33" s="235">
        <f t="shared" si="12"/>
        <v>44402</v>
      </c>
      <c r="U33" s="233"/>
      <c r="V33" s="234"/>
      <c r="W33" s="235">
        <f t="shared" si="13"/>
        <v>44433</v>
      </c>
      <c r="X33" s="233"/>
      <c r="Y33" s="234"/>
      <c r="Z33" s="235">
        <f t="shared" si="14"/>
        <v>44464</v>
      </c>
      <c r="AA33" s="233"/>
      <c r="AB33" s="234"/>
      <c r="AC33" s="235">
        <f t="shared" si="15"/>
        <v>44494</v>
      </c>
      <c r="AD33" s="233"/>
      <c r="AE33" s="234"/>
      <c r="AF33" s="235">
        <f t="shared" si="2"/>
        <v>44525</v>
      </c>
      <c r="AG33" s="233"/>
      <c r="AH33" s="234"/>
      <c r="AI33" s="235">
        <f t="shared" si="3"/>
        <v>44555</v>
      </c>
      <c r="AJ33" s="233"/>
      <c r="AK33" s="234"/>
      <c r="AL33" s="229">
        <f t="shared" si="4"/>
        <v>44586</v>
      </c>
      <c r="AM33" s="233"/>
      <c r="AN33" s="383"/>
      <c r="AO33" s="440"/>
      <c r="AP33" s="74"/>
      <c r="AQ33" s="440"/>
      <c r="AV33" s="511">
        <f>IF(AO19="直島町",SUM(AN29:AN39),0)</f>
        <v>0</v>
      </c>
      <c r="AW33" s="511"/>
    </row>
    <row r="34" spans="1:49" s="8" customFormat="1" x14ac:dyDescent="0.3">
      <c r="B34" s="235">
        <f t="shared" si="8"/>
        <v>44222</v>
      </c>
      <c r="C34" s="236"/>
      <c r="D34" s="237"/>
      <c r="E34" s="235">
        <f t="shared" si="6"/>
        <v>44253</v>
      </c>
      <c r="F34" s="233"/>
      <c r="G34" s="234"/>
      <c r="H34" s="235">
        <f t="shared" si="7"/>
        <v>44281</v>
      </c>
      <c r="I34" s="233"/>
      <c r="J34" s="234"/>
      <c r="K34" s="235">
        <f t="shared" si="9"/>
        <v>44312</v>
      </c>
      <c r="L34" s="233"/>
      <c r="M34" s="234"/>
      <c r="N34" s="235">
        <f t="shared" si="10"/>
        <v>44342</v>
      </c>
      <c r="O34" s="233"/>
      <c r="P34" s="234"/>
      <c r="Q34" s="270">
        <f t="shared" si="11"/>
        <v>44373</v>
      </c>
      <c r="R34" s="233"/>
      <c r="S34" s="234"/>
      <c r="T34" s="235">
        <f t="shared" si="12"/>
        <v>44403</v>
      </c>
      <c r="U34" s="233"/>
      <c r="V34" s="234"/>
      <c r="W34" s="235">
        <f t="shared" si="13"/>
        <v>44434</v>
      </c>
      <c r="X34" s="233"/>
      <c r="Y34" s="234"/>
      <c r="Z34" s="235">
        <f t="shared" si="14"/>
        <v>44465</v>
      </c>
      <c r="AA34" s="233"/>
      <c r="AB34" s="234"/>
      <c r="AC34" s="235">
        <f t="shared" si="15"/>
        <v>44495</v>
      </c>
      <c r="AD34" s="233"/>
      <c r="AE34" s="234"/>
      <c r="AF34" s="235">
        <f t="shared" si="2"/>
        <v>44526</v>
      </c>
      <c r="AG34" s="233"/>
      <c r="AH34" s="234"/>
      <c r="AI34" s="235">
        <f t="shared" si="3"/>
        <v>44556</v>
      </c>
      <c r="AJ34" s="233"/>
      <c r="AK34" s="234"/>
      <c r="AL34" s="235">
        <f t="shared" si="4"/>
        <v>44587</v>
      </c>
      <c r="AM34" s="233"/>
      <c r="AN34" s="234"/>
      <c r="AO34" s="440"/>
      <c r="AP34" s="74"/>
      <c r="AQ34" s="440"/>
      <c r="AV34" s="529">
        <f>AV29+AV31+AV33</f>
        <v>0</v>
      </c>
      <c r="AW34" s="511"/>
    </row>
    <row r="35" spans="1:49" s="8" customFormat="1" x14ac:dyDescent="0.3">
      <c r="B35" s="235">
        <f t="shared" si="8"/>
        <v>44223</v>
      </c>
      <c r="C35" s="236"/>
      <c r="D35" s="237"/>
      <c r="E35" s="235">
        <f t="shared" si="6"/>
        <v>44254</v>
      </c>
      <c r="F35" s="233"/>
      <c r="G35" s="234"/>
      <c r="H35" s="235">
        <f t="shared" si="7"/>
        <v>44282</v>
      </c>
      <c r="I35" s="233"/>
      <c r="J35" s="234"/>
      <c r="K35" s="235">
        <f t="shared" si="9"/>
        <v>44313</v>
      </c>
      <c r="L35" s="233"/>
      <c r="M35" s="234"/>
      <c r="N35" s="235">
        <f t="shared" si="10"/>
        <v>44343</v>
      </c>
      <c r="O35" s="233"/>
      <c r="P35" s="234"/>
      <c r="Q35" s="270">
        <f t="shared" si="11"/>
        <v>44374</v>
      </c>
      <c r="R35" s="233"/>
      <c r="S35" s="234"/>
      <c r="T35" s="235">
        <f t="shared" si="12"/>
        <v>44404</v>
      </c>
      <c r="U35" s="233"/>
      <c r="V35" s="234"/>
      <c r="W35" s="235">
        <f t="shared" si="13"/>
        <v>44435</v>
      </c>
      <c r="X35" s="233"/>
      <c r="Y35" s="234"/>
      <c r="Z35" s="235">
        <f t="shared" si="14"/>
        <v>44466</v>
      </c>
      <c r="AA35" s="233"/>
      <c r="AB35" s="234"/>
      <c r="AC35" s="235">
        <f t="shared" si="15"/>
        <v>44496</v>
      </c>
      <c r="AD35" s="233"/>
      <c r="AE35" s="234"/>
      <c r="AF35" s="235">
        <f t="shared" si="2"/>
        <v>44527</v>
      </c>
      <c r="AG35" s="233"/>
      <c r="AH35" s="234"/>
      <c r="AI35" s="235">
        <f t="shared" si="3"/>
        <v>44557</v>
      </c>
      <c r="AJ35" s="233"/>
      <c r="AK35" s="234"/>
      <c r="AL35" s="235">
        <f t="shared" si="4"/>
        <v>44588</v>
      </c>
      <c r="AM35" s="233"/>
      <c r="AN35" s="234"/>
      <c r="AO35" s="440"/>
      <c r="AP35" s="74"/>
      <c r="AQ35" s="440"/>
      <c r="AV35" s="511"/>
      <c r="AW35" s="511"/>
    </row>
    <row r="36" spans="1:49" s="8" customFormat="1" x14ac:dyDescent="0.3">
      <c r="B36" s="235">
        <f t="shared" si="8"/>
        <v>44224</v>
      </c>
      <c r="C36" s="236"/>
      <c r="D36" s="237"/>
      <c r="E36" s="235">
        <f t="shared" si="6"/>
        <v>44255</v>
      </c>
      <c r="F36" s="233"/>
      <c r="G36" s="234"/>
      <c r="H36" s="235">
        <f t="shared" si="7"/>
        <v>44283</v>
      </c>
      <c r="I36" s="233"/>
      <c r="J36" s="234"/>
      <c r="K36" s="235">
        <f t="shared" si="9"/>
        <v>44314</v>
      </c>
      <c r="L36" s="233"/>
      <c r="M36" s="234"/>
      <c r="N36" s="235">
        <f t="shared" si="10"/>
        <v>44344</v>
      </c>
      <c r="O36" s="233"/>
      <c r="P36" s="234"/>
      <c r="Q36" s="270">
        <f t="shared" si="11"/>
        <v>44375</v>
      </c>
      <c r="R36" s="233"/>
      <c r="S36" s="234"/>
      <c r="T36" s="235">
        <f t="shared" si="12"/>
        <v>44405</v>
      </c>
      <c r="U36" s="233"/>
      <c r="V36" s="234"/>
      <c r="W36" s="235">
        <f t="shared" si="13"/>
        <v>44436</v>
      </c>
      <c r="X36" s="233"/>
      <c r="Y36" s="234"/>
      <c r="Z36" s="235">
        <f t="shared" si="14"/>
        <v>44467</v>
      </c>
      <c r="AA36" s="233"/>
      <c r="AB36" s="234"/>
      <c r="AC36" s="235">
        <f t="shared" si="15"/>
        <v>44497</v>
      </c>
      <c r="AD36" s="233"/>
      <c r="AE36" s="234"/>
      <c r="AF36" s="235">
        <f t="shared" si="2"/>
        <v>44528</v>
      </c>
      <c r="AG36" s="233"/>
      <c r="AH36" s="234"/>
      <c r="AI36" s="235">
        <f t="shared" si="3"/>
        <v>44558</v>
      </c>
      <c r="AJ36" s="233"/>
      <c r="AK36" s="234"/>
      <c r="AL36" s="235">
        <f t="shared" si="4"/>
        <v>44589</v>
      </c>
      <c r="AM36" s="233"/>
      <c r="AN36" s="234"/>
      <c r="AO36" s="440"/>
      <c r="AP36" s="74"/>
      <c r="AQ36" s="440"/>
      <c r="AV36" s="511"/>
      <c r="AW36" s="511"/>
    </row>
    <row r="37" spans="1:49" s="8" customFormat="1" x14ac:dyDescent="0.3">
      <c r="B37" s="235">
        <f>IF(B36="","",IF(DAY(B36+1)=1,"",B36+1))</f>
        <v>44225</v>
      </c>
      <c r="C37" s="236"/>
      <c r="D37" s="237"/>
      <c r="E37" s="235" t="str">
        <f>IF(E36="","",IF(DAY(E36+1)=1,"",E36+1))</f>
        <v/>
      </c>
      <c r="F37" s="434"/>
      <c r="G37" s="234"/>
      <c r="H37" s="235">
        <f>IF(H36="","",IF(DAY(H36+1)=1,"",H36+1))</f>
        <v>44284</v>
      </c>
      <c r="I37" s="233"/>
      <c r="J37" s="234"/>
      <c r="K37" s="235">
        <f t="shared" ref="K37:AC39" si="16">IF(K36="","",IF(DAY(K36+1)=1,"",K36+1))</f>
        <v>44315</v>
      </c>
      <c r="L37" s="233"/>
      <c r="M37" s="234"/>
      <c r="N37" s="235">
        <f t="shared" si="16"/>
        <v>44345</v>
      </c>
      <c r="O37" s="233"/>
      <c r="P37" s="234"/>
      <c r="Q37" s="235">
        <f>IF(Q36="","",IF(DAY(Q36+1)=1,"",Q36+1))</f>
        <v>44376</v>
      </c>
      <c r="R37" s="233"/>
      <c r="S37" s="234"/>
      <c r="T37" s="235">
        <f t="shared" si="12"/>
        <v>44406</v>
      </c>
      <c r="U37" s="233"/>
      <c r="V37" s="234"/>
      <c r="W37" s="235">
        <f t="shared" si="16"/>
        <v>44437</v>
      </c>
      <c r="X37" s="233"/>
      <c r="Y37" s="234"/>
      <c r="Z37" s="235">
        <f t="shared" si="16"/>
        <v>44468</v>
      </c>
      <c r="AA37" s="233"/>
      <c r="AB37" s="234"/>
      <c r="AC37" s="235">
        <f t="shared" si="16"/>
        <v>44498</v>
      </c>
      <c r="AD37" s="233"/>
      <c r="AE37" s="234"/>
      <c r="AF37" s="235">
        <f>IF(AF36="","",IF(DAY(AF36+1)=1,"",AF36+1))</f>
        <v>44529</v>
      </c>
      <c r="AG37" s="233"/>
      <c r="AH37" s="234"/>
      <c r="AI37" s="235">
        <f>IF(AI36="","",IF(DAY(AI36+1)=1,"",AI36+1))</f>
        <v>44559</v>
      </c>
      <c r="AJ37" s="233"/>
      <c r="AK37" s="234"/>
      <c r="AL37" s="235">
        <f t="shared" si="4"/>
        <v>44590</v>
      </c>
      <c r="AM37" s="233"/>
      <c r="AN37" s="234"/>
      <c r="AO37" s="440"/>
      <c r="AP37" s="74"/>
      <c r="AQ37" s="440"/>
      <c r="AV37" s="511" t="s">
        <v>189</v>
      </c>
      <c r="AW37" s="511"/>
    </row>
    <row r="38" spans="1:49" s="8" customFormat="1" x14ac:dyDescent="0.3">
      <c r="B38" s="235">
        <f>IF(B37="","",IF(DAY(B37+1)=1,"",B37+1))</f>
        <v>44226</v>
      </c>
      <c r="C38" s="236"/>
      <c r="D38" s="237"/>
      <c r="E38" s="235" t="str">
        <f t="shared" ref="E38:H39" si="17">IF(E37="","",IF(DAY(E37+1)=1,"",E37+1))</f>
        <v/>
      </c>
      <c r="F38" s="434"/>
      <c r="G38" s="234"/>
      <c r="H38" s="235">
        <f t="shared" si="17"/>
        <v>44285</v>
      </c>
      <c r="I38" s="233"/>
      <c r="J38" s="234"/>
      <c r="K38" s="235">
        <f t="shared" si="16"/>
        <v>44316</v>
      </c>
      <c r="L38" s="233"/>
      <c r="M38" s="234"/>
      <c r="N38" s="235">
        <f t="shared" si="16"/>
        <v>44346</v>
      </c>
      <c r="O38" s="233"/>
      <c r="P38" s="234"/>
      <c r="Q38" s="235">
        <f>IF(Q37="","",IF(DAY(Q37+1)=1,"",Q37+1))</f>
        <v>44377</v>
      </c>
      <c r="R38" s="233"/>
      <c r="S38" s="234"/>
      <c r="T38" s="235">
        <f t="shared" si="12"/>
        <v>44407</v>
      </c>
      <c r="U38" s="233"/>
      <c r="V38" s="234"/>
      <c r="W38" s="235">
        <f t="shared" si="16"/>
        <v>44438</v>
      </c>
      <c r="X38" s="233"/>
      <c r="Y38" s="234"/>
      <c r="Z38" s="235">
        <f t="shared" si="16"/>
        <v>44469</v>
      </c>
      <c r="AA38" s="233"/>
      <c r="AB38" s="273"/>
      <c r="AC38" s="235">
        <f t="shared" si="16"/>
        <v>44499</v>
      </c>
      <c r="AD38" s="233"/>
      <c r="AE38" s="234"/>
      <c r="AF38" s="235">
        <f>IF(AF37="","",IF(DAY(AF37+1)=1,"",AF37+1))</f>
        <v>44530</v>
      </c>
      <c r="AG38" s="233"/>
      <c r="AH38" s="234"/>
      <c r="AI38" s="235">
        <f>IF(AI37="","",IF(DAY(AI37+1)=1,"",AI37+1))</f>
        <v>44560</v>
      </c>
      <c r="AJ38" s="233"/>
      <c r="AK38" s="234"/>
      <c r="AL38" s="235">
        <f>AL37+1</f>
        <v>44591</v>
      </c>
      <c r="AM38" s="233"/>
      <c r="AN38" s="234"/>
      <c r="AO38" s="440"/>
      <c r="AP38" s="74"/>
      <c r="AQ38" s="440"/>
      <c r="AV38" s="511">
        <f>IF(AO19="直島町",1,0)</f>
        <v>0</v>
      </c>
      <c r="AW38" s="511"/>
    </row>
    <row r="39" spans="1:49" s="8" customFormat="1" x14ac:dyDescent="0.3">
      <c r="B39" s="235">
        <f>IF(B38="","",IF(DAY(B38+1)=1,"",B38+1))</f>
        <v>44227</v>
      </c>
      <c r="C39" s="236"/>
      <c r="D39" s="273"/>
      <c r="E39" s="235" t="str">
        <f t="shared" si="17"/>
        <v/>
      </c>
      <c r="F39" s="235"/>
      <c r="G39" s="238"/>
      <c r="H39" s="235">
        <f>IF(H38="","",IF(DAY(H38+1)=1,"",H38+1))</f>
        <v>44286</v>
      </c>
      <c r="I39" s="233"/>
      <c r="J39" s="273"/>
      <c r="K39" s="235" t="str">
        <f>IF(K38="","",IF(DAY(K38+1)=1,"",K38+1))</f>
        <v/>
      </c>
      <c r="L39" s="465"/>
      <c r="M39" s="238"/>
      <c r="N39" s="235">
        <f t="shared" si="16"/>
        <v>44347</v>
      </c>
      <c r="O39" s="233"/>
      <c r="P39" s="234"/>
      <c r="Q39" s="235" t="str">
        <f>IF(Q38="","",IF(DAY(Q38+1)=1,"",Q38+1))</f>
        <v/>
      </c>
      <c r="R39" s="234"/>
      <c r="S39" s="234"/>
      <c r="T39" s="235">
        <f t="shared" si="12"/>
        <v>44408</v>
      </c>
      <c r="U39" s="233"/>
      <c r="V39" s="234"/>
      <c r="W39" s="235">
        <f>IF(W38="","",IF(DAY(W38+1)=1,"",W38+1))</f>
        <v>44439</v>
      </c>
      <c r="X39" s="233"/>
      <c r="Y39" s="234"/>
      <c r="Z39" s="235" t="str">
        <f>IF(Z38="","",IF(DAY(Z38+1)=1,"",Z38+1))</f>
        <v/>
      </c>
      <c r="AA39" s="434"/>
      <c r="AB39" s="273"/>
      <c r="AC39" s="235">
        <f>IF(AC38="","",IF(DAY(AC38+1)=1,"",AC38+1))</f>
        <v>44500</v>
      </c>
      <c r="AD39" s="233"/>
      <c r="AE39" s="234"/>
      <c r="AF39" s="235" t="str">
        <f>IF(AF38="","",IF(DAY(AF38+1)=1,"",AF38+1))</f>
        <v/>
      </c>
      <c r="AG39" s="434"/>
      <c r="AH39" s="234"/>
      <c r="AI39" s="235">
        <f>IF(AI38="","",IF(DAY(AI38+1)=1,"",AI38+1))</f>
        <v>44561</v>
      </c>
      <c r="AJ39" s="233"/>
      <c r="AK39" s="234"/>
      <c r="AL39" s="401">
        <f>AL38+1</f>
        <v>44592</v>
      </c>
      <c r="AM39" s="233"/>
      <c r="AN39" s="234"/>
      <c r="AO39" s="438"/>
      <c r="AP39" s="74"/>
      <c r="AQ39" s="437"/>
      <c r="AV39" s="511" t="s">
        <v>190</v>
      </c>
      <c r="AW39" s="511"/>
    </row>
    <row r="40" spans="1:49" ht="14" thickBot="1" x14ac:dyDescent="0.35">
      <c r="Q40" s="239"/>
      <c r="AI40" s="240"/>
      <c r="AV40" s="499">
        <f>IF(AO19="直島町",COUNTIF(AP9,"○"),0)</f>
        <v>0</v>
      </c>
      <c r="AW40" s="499"/>
    </row>
    <row r="41" spans="1:49" ht="14" thickBot="1" x14ac:dyDescent="0.35">
      <c r="A41" s="38"/>
      <c r="B41" s="41" t="s">
        <v>52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38"/>
      <c r="V41" s="38"/>
      <c r="W41" s="41" t="s">
        <v>52</v>
      </c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J41" s="38"/>
      <c r="AK41" s="38"/>
      <c r="AL41" s="38"/>
      <c r="AM41" s="38"/>
      <c r="AN41" s="38"/>
      <c r="AO41" s="38"/>
      <c r="AP41" s="38"/>
      <c r="AQ41" s="38"/>
      <c r="AV41" s="499" t="s">
        <v>191</v>
      </c>
      <c r="AW41" s="499"/>
    </row>
    <row r="42" spans="1:49" s="265" customFormat="1" thickTop="1" x14ac:dyDescent="0.3">
      <c r="B42" s="241" t="s">
        <v>45</v>
      </c>
      <c r="C42" s="266"/>
      <c r="D42" s="628">
        <f>SUM(D9:D39)</f>
        <v>0</v>
      </c>
      <c r="E42" s="241" t="s">
        <v>46</v>
      </c>
      <c r="F42" s="266"/>
      <c r="G42" s="628">
        <f>SUM(G9:G36)</f>
        <v>0</v>
      </c>
      <c r="H42" s="241" t="s">
        <v>47</v>
      </c>
      <c r="I42" s="266"/>
      <c r="J42" s="628">
        <f>SUM(J9:J39)</f>
        <v>0</v>
      </c>
      <c r="K42" s="241" t="s">
        <v>48</v>
      </c>
      <c r="L42" s="266"/>
      <c r="M42" s="628">
        <f>SUM(M9:M38)</f>
        <v>0</v>
      </c>
      <c r="N42" s="271" t="s">
        <v>57</v>
      </c>
      <c r="O42" s="266"/>
      <c r="P42" s="628">
        <f>SUM(P9:P39)</f>
        <v>0</v>
      </c>
      <c r="Q42" s="241" t="s">
        <v>38</v>
      </c>
      <c r="R42" s="266"/>
      <c r="S42" s="628">
        <f>SUM(S9:S38)</f>
        <v>0</v>
      </c>
      <c r="T42" s="241" t="s">
        <v>39</v>
      </c>
      <c r="U42" s="266"/>
      <c r="V42" s="628">
        <f>SUM(V9:V39)</f>
        <v>0</v>
      </c>
      <c r="W42" s="241" t="s">
        <v>40</v>
      </c>
      <c r="X42" s="266"/>
      <c r="Y42" s="628">
        <f>SUM(Y9:Y39)</f>
        <v>0</v>
      </c>
      <c r="Z42" s="241" t="s">
        <v>41</v>
      </c>
      <c r="AA42" s="266"/>
      <c r="AB42" s="628">
        <f>SUM(AB9:AB38)</f>
        <v>0</v>
      </c>
      <c r="AC42" s="241" t="s">
        <v>42</v>
      </c>
      <c r="AD42" s="266"/>
      <c r="AE42" s="628">
        <f>SUM(AE9:AE39)</f>
        <v>0</v>
      </c>
      <c r="AF42" s="241" t="s">
        <v>43</v>
      </c>
      <c r="AG42" s="266"/>
      <c r="AH42" s="628">
        <f>SUM(AH9:AH38)</f>
        <v>0</v>
      </c>
      <c r="AI42" s="241" t="s">
        <v>44</v>
      </c>
      <c r="AJ42" s="266"/>
      <c r="AK42" s="628">
        <f>SUM(AK9:AK39)</f>
        <v>0</v>
      </c>
      <c r="AL42" s="241" t="s">
        <v>45</v>
      </c>
      <c r="AM42" s="266"/>
      <c r="AN42" s="628">
        <f>AV34</f>
        <v>0</v>
      </c>
      <c r="AO42" s="241" t="s">
        <v>46</v>
      </c>
      <c r="AP42" s="266"/>
      <c r="AQ42" s="628">
        <f>AV42</f>
        <v>0</v>
      </c>
      <c r="AS42" s="244" t="s">
        <v>56</v>
      </c>
      <c r="AT42" s="267"/>
      <c r="AU42" s="635">
        <f>SUM(D42,G42,J42,M42,P42,S42,V42,Y42,AB42,AE42,AH42,AK42,AN42)</f>
        <v>0</v>
      </c>
      <c r="AV42" s="530">
        <f>IF(AO19="直島町",AQ9,0)</f>
        <v>0</v>
      </c>
      <c r="AW42" s="530"/>
    </row>
    <row r="43" spans="1:49" s="8" customFormat="1" ht="13" x14ac:dyDescent="0.3">
      <c r="B43" s="241" t="s">
        <v>3</v>
      </c>
      <c r="C43" s="242">
        <f>31-C44</f>
        <v>31</v>
      </c>
      <c r="D43" s="629"/>
      <c r="E43" s="243" t="s">
        <v>3</v>
      </c>
      <c r="F43" s="242">
        <f>28-F44</f>
        <v>28</v>
      </c>
      <c r="G43" s="629"/>
      <c r="H43" s="241" t="s">
        <v>3</v>
      </c>
      <c r="I43" s="242">
        <f>31-I44</f>
        <v>31</v>
      </c>
      <c r="J43" s="629"/>
      <c r="K43" s="241" t="s">
        <v>3</v>
      </c>
      <c r="L43" s="242">
        <f>30-L44</f>
        <v>30</v>
      </c>
      <c r="M43" s="629"/>
      <c r="N43" s="241" t="s">
        <v>3</v>
      </c>
      <c r="O43" s="242">
        <f>31-O44</f>
        <v>31</v>
      </c>
      <c r="P43" s="629"/>
      <c r="Q43" s="271" t="s">
        <v>3</v>
      </c>
      <c r="R43" s="242">
        <f>30-R44</f>
        <v>30</v>
      </c>
      <c r="S43" s="629"/>
      <c r="T43" s="241" t="s">
        <v>3</v>
      </c>
      <c r="U43" s="242">
        <f>31-U44</f>
        <v>31</v>
      </c>
      <c r="V43" s="629"/>
      <c r="W43" s="241" t="s">
        <v>3</v>
      </c>
      <c r="X43" s="242">
        <f>31-X44</f>
        <v>31</v>
      </c>
      <c r="Y43" s="629"/>
      <c r="Z43" s="241" t="s">
        <v>3</v>
      </c>
      <c r="AA43" s="242">
        <f>30-AA44</f>
        <v>30</v>
      </c>
      <c r="AB43" s="629"/>
      <c r="AC43" s="241" t="s">
        <v>3</v>
      </c>
      <c r="AD43" s="242">
        <f>31-AD44</f>
        <v>31</v>
      </c>
      <c r="AE43" s="629"/>
      <c r="AF43" s="241" t="s">
        <v>3</v>
      </c>
      <c r="AG43" s="242">
        <f>30-AG44</f>
        <v>30</v>
      </c>
      <c r="AH43" s="629"/>
      <c r="AI43" s="241" t="s">
        <v>3</v>
      </c>
      <c r="AJ43" s="242">
        <f>31-AJ44</f>
        <v>31</v>
      </c>
      <c r="AK43" s="629"/>
      <c r="AL43" s="241" t="s">
        <v>3</v>
      </c>
      <c r="AM43" s="242">
        <f>AV16-AM44</f>
        <v>20</v>
      </c>
      <c r="AN43" s="629"/>
      <c r="AO43" s="241" t="s">
        <v>3</v>
      </c>
      <c r="AP43" s="242">
        <f>AV38-AP44</f>
        <v>0</v>
      </c>
      <c r="AQ43" s="629"/>
      <c r="AS43" s="245" t="s">
        <v>3</v>
      </c>
      <c r="AT43" s="242">
        <f>C43+AM43+AJ43+AG43+AD43+AA43+X43+U43+R43+O43+L43+I43+F43+AP43</f>
        <v>385</v>
      </c>
      <c r="AU43" s="636"/>
      <c r="AV43" s="511"/>
      <c r="AW43" s="511"/>
    </row>
    <row r="44" spans="1:49" ht="14" thickBot="1" x14ac:dyDescent="0.35">
      <c r="B44" s="241" t="s">
        <v>49</v>
      </c>
      <c r="C44" s="242">
        <f>COUNTIF(C9:C39,"○")</f>
        <v>0</v>
      </c>
      <c r="D44" s="630"/>
      <c r="E44" s="243" t="s">
        <v>49</v>
      </c>
      <c r="F44" s="242">
        <f>COUNTIF(F9:F36,"○")</f>
        <v>0</v>
      </c>
      <c r="G44" s="630"/>
      <c r="H44" s="241" t="s">
        <v>49</v>
      </c>
      <c r="I44" s="242">
        <f>COUNTIF(I9:I39,"○")</f>
        <v>0</v>
      </c>
      <c r="J44" s="630"/>
      <c r="K44" s="241" t="s">
        <v>49</v>
      </c>
      <c r="L44" s="242">
        <f>COUNTIF(L9:L38,"○")</f>
        <v>0</v>
      </c>
      <c r="M44" s="630"/>
      <c r="N44" s="241" t="s">
        <v>49</v>
      </c>
      <c r="O44" s="242">
        <f>COUNTIF(O9:O39,"○")</f>
        <v>0</v>
      </c>
      <c r="P44" s="630"/>
      <c r="Q44" s="271" t="s">
        <v>49</v>
      </c>
      <c r="R44" s="242">
        <f>COUNTIF(R9:R38,"○")</f>
        <v>0</v>
      </c>
      <c r="S44" s="630"/>
      <c r="T44" s="241" t="s">
        <v>49</v>
      </c>
      <c r="U44" s="242">
        <f>COUNTIF(U9:U39,"○")</f>
        <v>0</v>
      </c>
      <c r="V44" s="630"/>
      <c r="W44" s="241" t="s">
        <v>49</v>
      </c>
      <c r="X44" s="242">
        <f>COUNTIF(X9:X39,"○")</f>
        <v>0</v>
      </c>
      <c r="Y44" s="630"/>
      <c r="Z44" s="241" t="s">
        <v>49</v>
      </c>
      <c r="AA44" s="242">
        <f>COUNTIF(AA9:AA38,"○")</f>
        <v>0</v>
      </c>
      <c r="AB44" s="630"/>
      <c r="AC44" s="241" t="s">
        <v>49</v>
      </c>
      <c r="AD44" s="242">
        <f>COUNTIF(AD9:AD39,"○")</f>
        <v>0</v>
      </c>
      <c r="AE44" s="630"/>
      <c r="AF44" s="241" t="s">
        <v>49</v>
      </c>
      <c r="AG44" s="242">
        <f>COUNTIF(AG9:AG38,"○")</f>
        <v>0</v>
      </c>
      <c r="AH44" s="630"/>
      <c r="AI44" s="241" t="s">
        <v>49</v>
      </c>
      <c r="AJ44" s="242">
        <f>COUNTIF(AJ9:AJ39,"○")</f>
        <v>0</v>
      </c>
      <c r="AK44" s="630"/>
      <c r="AL44" s="241" t="s">
        <v>49</v>
      </c>
      <c r="AM44" s="242">
        <f>AV25</f>
        <v>0</v>
      </c>
      <c r="AN44" s="630"/>
      <c r="AO44" s="241" t="s">
        <v>49</v>
      </c>
      <c r="AP44" s="242">
        <f>AV40</f>
        <v>0</v>
      </c>
      <c r="AQ44" s="630"/>
      <c r="AS44" s="246" t="s">
        <v>49</v>
      </c>
      <c r="AT44" s="242">
        <f>C44+AM44+AJ44+AG44+AD44+AA44+X44+U44+R44+O44+L44+I44+F44+AP44</f>
        <v>0</v>
      </c>
      <c r="AU44" s="637"/>
    </row>
    <row r="45" spans="1:49" ht="14" thickTop="1" x14ac:dyDescent="0.3">
      <c r="AJ45" s="17"/>
    </row>
    <row r="46" spans="1:49" x14ac:dyDescent="0.3">
      <c r="AJ46" s="17"/>
    </row>
    <row r="47" spans="1:49" x14ac:dyDescent="0.3">
      <c r="AJ47" s="17"/>
    </row>
    <row r="48" spans="1:49" x14ac:dyDescent="0.3">
      <c r="AJ48" s="17"/>
    </row>
    <row r="49" spans="36:36" x14ac:dyDescent="0.3">
      <c r="AJ49" s="17"/>
    </row>
    <row r="50" spans="36:36" x14ac:dyDescent="0.3">
      <c r="AJ50" s="17"/>
    </row>
    <row r="51" spans="36:36" x14ac:dyDescent="0.3">
      <c r="AJ51" s="17"/>
    </row>
    <row r="52" spans="36:36" x14ac:dyDescent="0.3">
      <c r="AJ52" s="17"/>
    </row>
    <row r="53" spans="36:36" x14ac:dyDescent="0.3">
      <c r="AJ53" s="17"/>
    </row>
    <row r="54" spans="36:36" x14ac:dyDescent="0.3">
      <c r="AJ54" s="17"/>
    </row>
    <row r="55" spans="36:36" x14ac:dyDescent="0.3">
      <c r="AJ55" s="17"/>
    </row>
    <row r="56" spans="36:36" x14ac:dyDescent="0.3">
      <c r="AJ56" s="17"/>
    </row>
    <row r="57" spans="36:36" x14ac:dyDescent="0.3">
      <c r="AJ57" s="17"/>
    </row>
    <row r="58" spans="36:36" x14ac:dyDescent="0.3">
      <c r="AJ58" s="17"/>
    </row>
    <row r="59" spans="36:36" x14ac:dyDescent="0.3">
      <c r="AJ59" s="18"/>
    </row>
    <row r="60" spans="36:36" x14ac:dyDescent="0.3">
      <c r="AJ60" s="18"/>
    </row>
    <row r="61" spans="36:36" x14ac:dyDescent="0.3">
      <c r="AJ61" s="18"/>
    </row>
    <row r="62" spans="36:36" x14ac:dyDescent="0.3">
      <c r="AJ62" s="18"/>
    </row>
    <row r="63" spans="36:36" x14ac:dyDescent="0.3">
      <c r="AJ63" s="18"/>
    </row>
    <row r="64" spans="36:36" x14ac:dyDescent="0.3">
      <c r="AJ64" s="18"/>
    </row>
    <row r="65" spans="36:36" x14ac:dyDescent="0.3">
      <c r="AJ65" s="18"/>
    </row>
    <row r="66" spans="36:36" x14ac:dyDescent="0.3">
      <c r="AJ66" s="18"/>
    </row>
    <row r="67" spans="36:36" x14ac:dyDescent="0.3">
      <c r="AJ67" s="18"/>
    </row>
    <row r="68" spans="36:36" x14ac:dyDescent="0.3">
      <c r="AJ68" s="18"/>
    </row>
    <row r="69" spans="36:36" x14ac:dyDescent="0.3">
      <c r="AJ69" s="18"/>
    </row>
    <row r="70" spans="36:36" x14ac:dyDescent="0.3">
      <c r="AJ70" s="18"/>
    </row>
    <row r="71" spans="36:36" x14ac:dyDescent="0.3">
      <c r="AJ71" s="18"/>
    </row>
    <row r="72" spans="36:36" x14ac:dyDescent="0.3">
      <c r="AJ72" s="18"/>
    </row>
    <row r="73" spans="36:36" x14ac:dyDescent="0.3">
      <c r="AJ73" s="18"/>
    </row>
    <row r="74" spans="36:36" x14ac:dyDescent="0.3">
      <c r="AJ74" s="18"/>
    </row>
    <row r="75" spans="36:36" x14ac:dyDescent="0.3">
      <c r="AJ75" s="18"/>
    </row>
    <row r="76" spans="36:36" x14ac:dyDescent="0.3">
      <c r="AJ76" s="18"/>
    </row>
    <row r="77" spans="36:36" x14ac:dyDescent="0.3">
      <c r="AJ77" s="18"/>
    </row>
    <row r="78" spans="36:36" x14ac:dyDescent="0.3">
      <c r="AJ78" s="18"/>
    </row>
    <row r="79" spans="36:36" x14ac:dyDescent="0.3">
      <c r="AJ79" s="18"/>
    </row>
    <row r="80" spans="36:36" x14ac:dyDescent="0.3">
      <c r="AJ80" s="18"/>
    </row>
    <row r="81" spans="36:36" x14ac:dyDescent="0.3">
      <c r="AJ81" s="18"/>
    </row>
    <row r="82" spans="36:36" x14ac:dyDescent="0.3">
      <c r="AJ82" s="18"/>
    </row>
    <row r="83" spans="36:36" x14ac:dyDescent="0.3">
      <c r="AJ83" s="18"/>
    </row>
    <row r="84" spans="36:36" x14ac:dyDescent="0.3">
      <c r="AJ84" s="18"/>
    </row>
    <row r="85" spans="36:36" x14ac:dyDescent="0.3">
      <c r="AJ85" s="18"/>
    </row>
    <row r="86" spans="36:36" x14ac:dyDescent="0.3">
      <c r="AJ86" s="18"/>
    </row>
    <row r="87" spans="36:36" x14ac:dyDescent="0.3">
      <c r="AJ87" s="18"/>
    </row>
    <row r="88" spans="36:36" x14ac:dyDescent="0.3">
      <c r="AJ88" s="18"/>
    </row>
    <row r="89" spans="36:36" x14ac:dyDescent="0.3">
      <c r="AJ89" s="18"/>
    </row>
    <row r="90" spans="36:36" x14ac:dyDescent="0.3">
      <c r="AJ90" s="18"/>
    </row>
    <row r="91" spans="36:36" x14ac:dyDescent="0.3">
      <c r="AJ91" s="18"/>
    </row>
    <row r="92" spans="36:36" x14ac:dyDescent="0.3">
      <c r="AJ92" s="18"/>
    </row>
    <row r="93" spans="36:36" x14ac:dyDescent="0.3">
      <c r="AJ93" s="18"/>
    </row>
    <row r="94" spans="36:36" x14ac:dyDescent="0.3">
      <c r="AJ94" s="18"/>
    </row>
    <row r="95" spans="36:36" x14ac:dyDescent="0.3">
      <c r="AJ95" s="18"/>
    </row>
    <row r="96" spans="36:36" x14ac:dyDescent="0.3">
      <c r="AJ96" s="18"/>
    </row>
    <row r="97" spans="36:36" x14ac:dyDescent="0.3">
      <c r="AJ97" s="18"/>
    </row>
    <row r="98" spans="36:36" x14ac:dyDescent="0.3">
      <c r="AJ98" s="18"/>
    </row>
    <row r="99" spans="36:36" x14ac:dyDescent="0.3">
      <c r="AJ99" s="18"/>
    </row>
    <row r="100" spans="36:36" x14ac:dyDescent="0.3">
      <c r="AJ100" s="18"/>
    </row>
    <row r="101" spans="36:36" x14ac:dyDescent="0.3">
      <c r="AJ101" s="18"/>
    </row>
    <row r="102" spans="36:36" x14ac:dyDescent="0.3">
      <c r="AJ102" s="18"/>
    </row>
    <row r="103" spans="36:36" x14ac:dyDescent="0.3">
      <c r="AJ103" s="18"/>
    </row>
    <row r="104" spans="36:36" x14ac:dyDescent="0.3">
      <c r="AJ104" s="18"/>
    </row>
    <row r="105" spans="36:36" x14ac:dyDescent="0.3">
      <c r="AJ105" s="18"/>
    </row>
  </sheetData>
  <sheetProtection algorithmName="SHA-512" hashValue="PlamGA1dn29ApQz2rTMjGeywmYZWBxyv5e07SXoHleuN2+vUY2yw1VFoOhtmxeCekk5FwgFYEN5saudrQNU5Ow==" saltValue="aeUzxXe62tDWFcZQfPVAHw==" spinCount="100000" sheet="1" objects="1" scenarios="1"/>
  <mergeCells count="30">
    <mergeCell ref="AO7:AQ7"/>
    <mergeCell ref="AQ42:AQ44"/>
    <mergeCell ref="AL7:AN7"/>
    <mergeCell ref="AN42:AN44"/>
    <mergeCell ref="AU42:AU44"/>
    <mergeCell ref="AO19:AQ21"/>
    <mergeCell ref="Q7:S7"/>
    <mergeCell ref="T7:V7"/>
    <mergeCell ref="W7:Y7"/>
    <mergeCell ref="B7:D7"/>
    <mergeCell ref="E7:G7"/>
    <mergeCell ref="H7:J7"/>
    <mergeCell ref="K7:M7"/>
    <mergeCell ref="N7:P7"/>
    <mergeCell ref="D42:D44"/>
    <mergeCell ref="G42:G44"/>
    <mergeCell ref="J42:J44"/>
    <mergeCell ref="M42:M44"/>
    <mergeCell ref="AI7:AK7"/>
    <mergeCell ref="Z7:AB7"/>
    <mergeCell ref="AC7:AE7"/>
    <mergeCell ref="AF7:AH7"/>
    <mergeCell ref="P42:P44"/>
    <mergeCell ref="AB42:AB44"/>
    <mergeCell ref="AE42:AE44"/>
    <mergeCell ref="AH42:AH44"/>
    <mergeCell ref="AK42:AK44"/>
    <mergeCell ref="S42:S44"/>
    <mergeCell ref="V42:V44"/>
    <mergeCell ref="Y42:Y44"/>
  </mergeCells>
  <phoneticPr fontId="1"/>
  <conditionalFormatting sqref="H9:H38 K9:K38 N9:N39 W9:W38 AI9:AI38 AC9:AC38 Z9:Z36 E9:E38 T9:T36 Q9:Q36 AL9:AL14 B21:B38 B9">
    <cfRule type="expression" dxfId="164" priority="176">
      <formula>TEXT(B9,"aaa")="土"</formula>
    </cfRule>
  </conditionalFormatting>
  <conditionalFormatting sqref="AI9:AI38 H9:H38 K9:K38 N9:N39 W9:W38 Z9:Z36 AC9:AC38 E9:E38 T9:T36 Q9:Q36 AL9:AL14 B21:B38 B9">
    <cfRule type="expression" dxfId="163" priority="175">
      <formula>TEXT(B9,"aaa")="日"</formula>
    </cfRule>
  </conditionalFormatting>
  <conditionalFormatting sqref="AF9:AF38">
    <cfRule type="expression" dxfId="162" priority="174">
      <formula>TEXT(AF9,"aaa")="土"</formula>
    </cfRule>
  </conditionalFormatting>
  <conditionalFormatting sqref="AF9:AF38">
    <cfRule type="expression" dxfId="161" priority="173">
      <formula>TEXT(AF9,"aaa")="日"</formula>
    </cfRule>
  </conditionalFormatting>
  <conditionalFormatting sqref="AC42 AL42 B42 E42 H42 K42 N42 Q42 T42 W42 Z42 AI42">
    <cfRule type="expression" dxfId="160" priority="172">
      <formula>TEXT(B42,"aaa")="土"</formula>
    </cfRule>
  </conditionalFormatting>
  <conditionalFormatting sqref="AC42 AL42 B42 E42 H42 K42 N42 Q42 T42 W42 Z42 AI42">
    <cfRule type="expression" dxfId="159" priority="171">
      <formula>TEXT(B42,"aaa")="日"</formula>
    </cfRule>
  </conditionalFormatting>
  <conditionalFormatting sqref="AF42">
    <cfRule type="expression" dxfId="158" priority="170">
      <formula>TEXT(AF42,"aaa")="土"</formula>
    </cfRule>
  </conditionalFormatting>
  <conditionalFormatting sqref="AF42">
    <cfRule type="expression" dxfId="157" priority="169">
      <formula>TEXT(AF42,"aaa")="日"</formula>
    </cfRule>
  </conditionalFormatting>
  <conditionalFormatting sqref="AI43:AI44 W43:W44 Z43:Z44 AC43:AC44 B43:B44 E43:E44 H43:H44 K43:K44 N43:N44 Q43:Q44 T43:T44 AL43:AL44">
    <cfRule type="expression" dxfId="156" priority="168">
      <formula>TEXT(B43,"aaa")="土"</formula>
    </cfRule>
  </conditionalFormatting>
  <conditionalFormatting sqref="AI43:AI44 W43:W44 Z43:Z44 B43:B44 E43:E44 H43:H44 K43:K44 N43:N44 Q43:Q44 T43:T44 AC43:AC44 AL43:AL44">
    <cfRule type="expression" dxfId="155" priority="167">
      <formula>TEXT(B43,"aaa")="日"</formula>
    </cfRule>
  </conditionalFormatting>
  <conditionalFormatting sqref="AF43:AF44">
    <cfRule type="expression" dxfId="154" priority="166">
      <formula>TEXT(AF43,"aaa")="土"</formula>
    </cfRule>
  </conditionalFormatting>
  <conditionalFormatting sqref="AF43:AF44">
    <cfRule type="expression" dxfId="153" priority="165">
      <formula>TEXT(AF43,"aaa")="日"</formula>
    </cfRule>
  </conditionalFormatting>
  <conditionalFormatting sqref="AS43:AS44">
    <cfRule type="expression" dxfId="152" priority="138">
      <formula>TEXT(AS43,"aaa")="土"</formula>
    </cfRule>
  </conditionalFormatting>
  <conditionalFormatting sqref="AS43:AS44">
    <cfRule type="expression" dxfId="151" priority="137">
      <formula>TEXT(AS43,"aaa")="日"</formula>
    </cfRule>
  </conditionalFormatting>
  <conditionalFormatting sqref="AS42">
    <cfRule type="expression" dxfId="150" priority="136">
      <formula>TEXT(AS42,"aaa")="土"</formula>
    </cfRule>
  </conditionalFormatting>
  <conditionalFormatting sqref="AS42">
    <cfRule type="expression" dxfId="149" priority="135">
      <formula>TEXT(AS42,"aaa")="日"</formula>
    </cfRule>
  </conditionalFormatting>
  <conditionalFormatting sqref="AS44 AC9:AC38">
    <cfRule type="expression" dxfId="148" priority="139">
      <formula>COUNTIF(#REF!,$AC9)</formula>
    </cfRule>
  </conditionalFormatting>
  <conditionalFormatting sqref="AS44">
    <cfRule type="expression" dxfId="147" priority="140">
      <formula>COUNTIF(#REF!,$AF44)</formula>
    </cfRule>
  </conditionalFormatting>
  <conditionalFormatting sqref="AS42:AS43">
    <cfRule type="expression" dxfId="146" priority="141">
      <formula>COUNTIF(#REF!,#REF!)</formula>
    </cfRule>
  </conditionalFormatting>
  <conditionalFormatting sqref="AS42:AS43">
    <cfRule type="expression" dxfId="145" priority="142">
      <formula>COUNTIF(#REF!,$AE42)</formula>
    </cfRule>
  </conditionalFormatting>
  <conditionalFormatting sqref="AS42:AS44">
    <cfRule type="expression" dxfId="144" priority="143">
      <formula>COUNTIF(#REF!,$AN42)</formula>
    </cfRule>
  </conditionalFormatting>
  <conditionalFormatting sqref="Z9:Z36 T42:T44 AL42:AL44 B42:B44 E42:E44 H42:H44 K42:K44 N42:N44 Q42:Q44 Z42:Z44 AC42:AC44 AF42:AF44 AI42:AI44">
    <cfRule type="expression" dxfId="143" priority="1395">
      <formula>COUNTIF(#REF!,$Z9)</formula>
    </cfRule>
  </conditionalFormatting>
  <conditionalFormatting sqref="W9:W38 AL42:AL44 B42:B44 E42:E44 H42:H44 K42:K44 N42:N44 Q42:Q44 T42:T44 W42:W44 Z42:Z44 AC42:AC44 AF42:AF44 AI42:AI44">
    <cfRule type="expression" dxfId="142" priority="1408">
      <formula>COUNTIF(#REF!,$W9)</formula>
    </cfRule>
  </conditionalFormatting>
  <conditionalFormatting sqref="N42:N44 N9:N39">
    <cfRule type="expression" dxfId="141" priority="1422">
      <formula>COUNTIF(#REF!,$N9)</formula>
    </cfRule>
  </conditionalFormatting>
  <conditionalFormatting sqref="K42:K44 K9:K38">
    <cfRule type="expression" dxfId="140" priority="1424">
      <formula>COUNTIF(#REF!,$K9)</formula>
    </cfRule>
  </conditionalFormatting>
  <conditionalFormatting sqref="E42:E44 E9:E38">
    <cfRule type="expression" dxfId="139" priority="1426">
      <formula>COUNTIF(#REF!,$E9)</formula>
    </cfRule>
  </conditionalFormatting>
  <conditionalFormatting sqref="H42:H44 H9:H38">
    <cfRule type="expression" dxfId="138" priority="1428">
      <formula>COUNTIF(#REF!,$H9)</formula>
    </cfRule>
  </conditionalFormatting>
  <conditionalFormatting sqref="B42:B44">
    <cfRule type="expression" dxfId="137" priority="1430">
      <formula>COUNTIF(#REF!,$B42)</formula>
    </cfRule>
  </conditionalFormatting>
  <conditionalFormatting sqref="B9 B21:B38">
    <cfRule type="expression" dxfId="136" priority="1431">
      <formula>COUNTIF(#REF!,$B9)</formula>
    </cfRule>
  </conditionalFormatting>
  <conditionalFormatting sqref="AI9:AI38 AF9:AF38 AL9:AL14 AL42:AL44 AI42:AI44">
    <cfRule type="expression" dxfId="135" priority="1433">
      <formula>COUNTIF(#REF!,$AI9)</formula>
    </cfRule>
  </conditionalFormatting>
  <conditionalFormatting sqref="T42:T44 T9:T36">
    <cfRule type="expression" dxfId="134" priority="1441">
      <formula>COUNTIF(#REF!,$T9)</formula>
    </cfRule>
  </conditionalFormatting>
  <conditionalFormatting sqref="Q42:Q44 Q9:Q36">
    <cfRule type="expression" dxfId="133" priority="1443">
      <formula>COUNTIF(#REF!,$Q9)</formula>
    </cfRule>
  </conditionalFormatting>
  <conditionalFormatting sqref="AF42:AF44 AC42:AC44">
    <cfRule type="expression" dxfId="132" priority="1445">
      <formula>COUNTIF(#REF!,$AC42)</formula>
    </cfRule>
  </conditionalFormatting>
  <conditionalFormatting sqref="AL15:AL20">
    <cfRule type="expression" dxfId="131" priority="130">
      <formula>TEXT(AL15,"aaa")="土"</formula>
    </cfRule>
  </conditionalFormatting>
  <conditionalFormatting sqref="AL15:AL20">
    <cfRule type="expression" dxfId="130" priority="129">
      <formula>TEXT(AL15,"aaa")="日"</formula>
    </cfRule>
  </conditionalFormatting>
  <conditionalFormatting sqref="AL15:AL20">
    <cfRule type="expression" dxfId="129" priority="131">
      <formula>COUNTIF(#REF!,$AI15)</formula>
    </cfRule>
  </conditionalFormatting>
  <conditionalFormatting sqref="B42">
    <cfRule type="expression" dxfId="128" priority="122">
      <formula>COUNTIF(#REF!,$E42)</formula>
    </cfRule>
  </conditionalFormatting>
  <conditionalFormatting sqref="E42">
    <cfRule type="expression" dxfId="127" priority="121">
      <formula>COUNTIF(#REF!,$H42)</formula>
    </cfRule>
  </conditionalFormatting>
  <conditionalFormatting sqref="H42">
    <cfRule type="expression" dxfId="126" priority="120">
      <formula>COUNTIF(#REF!,$K42)</formula>
    </cfRule>
  </conditionalFormatting>
  <conditionalFormatting sqref="K42">
    <cfRule type="expression" dxfId="125" priority="119">
      <formula>COUNTIF(#REF!,$N42)</formula>
    </cfRule>
  </conditionalFormatting>
  <conditionalFormatting sqref="N42">
    <cfRule type="expression" dxfId="124" priority="118">
      <formula>COUNTIF(#REF!,$Q42)</formula>
    </cfRule>
  </conditionalFormatting>
  <conditionalFormatting sqref="Q42">
    <cfRule type="expression" dxfId="123" priority="117">
      <formula>COUNTIF(#REF!,$T42)</formula>
    </cfRule>
  </conditionalFormatting>
  <conditionalFormatting sqref="W42">
    <cfRule type="expression" dxfId="122" priority="116">
      <formula>COUNTIF(#REF!,$Z42)</formula>
    </cfRule>
  </conditionalFormatting>
  <conditionalFormatting sqref="Z42">
    <cfRule type="expression" dxfId="121" priority="115">
      <formula>COUNTIF(#REF!,$AC42)</formula>
    </cfRule>
  </conditionalFormatting>
  <conditionalFormatting sqref="AC42">
    <cfRule type="expression" dxfId="120" priority="114">
      <formula>TEXT(AC42,"aaa")="土"</formula>
    </cfRule>
  </conditionalFormatting>
  <conditionalFormatting sqref="AC42">
    <cfRule type="expression" dxfId="119" priority="113">
      <formula>TEXT(AC42,"aaa")="日"</formula>
    </cfRule>
  </conditionalFormatting>
  <conditionalFormatting sqref="AF42">
    <cfRule type="expression" dxfId="118" priority="111">
      <formula>TEXT(AF42,"aaa")="土"</formula>
    </cfRule>
  </conditionalFormatting>
  <conditionalFormatting sqref="AF42">
    <cfRule type="expression" dxfId="117" priority="110">
      <formula>TEXT(AF42,"aaa")="日"</formula>
    </cfRule>
  </conditionalFormatting>
  <conditionalFormatting sqref="AF42">
    <cfRule type="expression" dxfId="116" priority="112">
      <formula>COUNTIF(#REF!,$AI42)</formula>
    </cfRule>
  </conditionalFormatting>
  <conditionalFormatting sqref="T37:T39">
    <cfRule type="expression" dxfId="115" priority="108">
      <formula>TEXT(T37,"aaa")="土"</formula>
    </cfRule>
  </conditionalFormatting>
  <conditionalFormatting sqref="T37:T39">
    <cfRule type="expression" dxfId="114" priority="107">
      <formula>TEXT(T37,"aaa")="日"</formula>
    </cfRule>
  </conditionalFormatting>
  <conditionalFormatting sqref="T37:T39">
    <cfRule type="expression" dxfId="113" priority="109">
      <formula>COUNTIF(#REF!,$T37)</formula>
    </cfRule>
  </conditionalFormatting>
  <conditionalFormatting sqref="B9">
    <cfRule type="expression" dxfId="112" priority="106">
      <formula>COUNTIF(#REF!,$E9)</formula>
    </cfRule>
  </conditionalFormatting>
  <conditionalFormatting sqref="B10:B20">
    <cfRule type="expression" dxfId="111" priority="104">
      <formula>TEXT(B10,"aaa")="土"</formula>
    </cfRule>
  </conditionalFormatting>
  <conditionalFormatting sqref="B10:B20">
    <cfRule type="expression" dxfId="110" priority="103">
      <formula>TEXT(B10,"aaa")="日"</formula>
    </cfRule>
  </conditionalFormatting>
  <conditionalFormatting sqref="B10:B20">
    <cfRule type="expression" dxfId="109" priority="105">
      <formula>COUNTIF(#REF!,$E10)</formula>
    </cfRule>
  </conditionalFormatting>
  <conditionalFormatting sqref="B39">
    <cfRule type="expression" dxfId="108" priority="101">
      <formula>TEXT(B39,"aaa")="土"</formula>
    </cfRule>
  </conditionalFormatting>
  <conditionalFormatting sqref="B39">
    <cfRule type="expression" dxfId="107" priority="100">
      <formula>TEXT(B39,"aaa")="日"</formula>
    </cfRule>
  </conditionalFormatting>
  <conditionalFormatting sqref="B39">
    <cfRule type="expression" dxfId="106" priority="102">
      <formula>COUNTIF(#REF!,$E39)</formula>
    </cfRule>
  </conditionalFormatting>
  <conditionalFormatting sqref="H39">
    <cfRule type="expression" dxfId="105" priority="98">
      <formula>TEXT(H39,"aaa")="土"</formula>
    </cfRule>
  </conditionalFormatting>
  <conditionalFormatting sqref="H39">
    <cfRule type="expression" dxfId="104" priority="97">
      <formula>TEXT(H39,"aaa")="日"</formula>
    </cfRule>
  </conditionalFormatting>
  <conditionalFormatting sqref="H39">
    <cfRule type="expression" dxfId="103" priority="99">
      <formula>COUNTIF(#REF!,$E39)</formula>
    </cfRule>
  </conditionalFormatting>
  <conditionalFormatting sqref="K39">
    <cfRule type="expression" dxfId="102" priority="95">
      <formula>TEXT(K39,"aaa")="土"</formula>
    </cfRule>
  </conditionalFormatting>
  <conditionalFormatting sqref="K39">
    <cfRule type="expression" dxfId="101" priority="94">
      <formula>TEXT(K39,"aaa")="日"</formula>
    </cfRule>
  </conditionalFormatting>
  <conditionalFormatting sqref="K39">
    <cfRule type="expression" dxfId="100" priority="96">
      <formula>COUNTIF(#REF!,$E39)</formula>
    </cfRule>
  </conditionalFormatting>
  <conditionalFormatting sqref="Q37">
    <cfRule type="expression" dxfId="99" priority="92">
      <formula>TEXT(Q37,"aaa")="土"</formula>
    </cfRule>
  </conditionalFormatting>
  <conditionalFormatting sqref="Q37">
    <cfRule type="expression" dxfId="98" priority="91">
      <formula>TEXT(Q37,"aaa")="日"</formula>
    </cfRule>
  </conditionalFormatting>
  <conditionalFormatting sqref="Q37">
    <cfRule type="expression" dxfId="97" priority="93">
      <formula>COUNTIF(#REF!,$E37)</formula>
    </cfRule>
  </conditionalFormatting>
  <conditionalFormatting sqref="Q38">
    <cfRule type="expression" dxfId="96" priority="89">
      <formula>TEXT(Q38,"aaa")="土"</formula>
    </cfRule>
  </conditionalFormatting>
  <conditionalFormatting sqref="Q38">
    <cfRule type="expression" dxfId="95" priority="88">
      <formula>TEXT(Q38,"aaa")="日"</formula>
    </cfRule>
  </conditionalFormatting>
  <conditionalFormatting sqref="Q38">
    <cfRule type="expression" dxfId="94" priority="90">
      <formula>COUNTIF(#REF!,$E38)</formula>
    </cfRule>
  </conditionalFormatting>
  <conditionalFormatting sqref="Q39">
    <cfRule type="expression" dxfId="93" priority="86">
      <formula>TEXT(Q39,"aaa")="土"</formula>
    </cfRule>
  </conditionalFormatting>
  <conditionalFormatting sqref="Q39">
    <cfRule type="expression" dxfId="92" priority="85">
      <formula>TEXT(Q39,"aaa")="日"</formula>
    </cfRule>
  </conditionalFormatting>
  <conditionalFormatting sqref="Q39">
    <cfRule type="expression" dxfId="91" priority="87">
      <formula>COUNTIF(#REF!,$E39)</formula>
    </cfRule>
  </conditionalFormatting>
  <conditionalFormatting sqref="W39">
    <cfRule type="expression" dxfId="90" priority="83">
      <formula>TEXT(W39,"aaa")="土"</formula>
    </cfRule>
  </conditionalFormatting>
  <conditionalFormatting sqref="W39">
    <cfRule type="expression" dxfId="89" priority="82">
      <formula>TEXT(W39,"aaa")="日"</formula>
    </cfRule>
  </conditionalFormatting>
  <conditionalFormatting sqref="W39">
    <cfRule type="expression" dxfId="88" priority="84">
      <formula>COUNTIF(#REF!,$E39)</formula>
    </cfRule>
  </conditionalFormatting>
  <conditionalFormatting sqref="Z39">
    <cfRule type="expression" dxfId="87" priority="80">
      <formula>TEXT(Z39,"aaa")="土"</formula>
    </cfRule>
  </conditionalFormatting>
  <conditionalFormatting sqref="Z39">
    <cfRule type="expression" dxfId="86" priority="79">
      <formula>TEXT(Z39,"aaa")="日"</formula>
    </cfRule>
  </conditionalFormatting>
  <conditionalFormatting sqref="Z39">
    <cfRule type="expression" dxfId="85" priority="81">
      <formula>COUNTIF(#REF!,$E39)</formula>
    </cfRule>
  </conditionalFormatting>
  <conditionalFormatting sqref="AC39">
    <cfRule type="expression" dxfId="84" priority="77">
      <formula>TEXT(AC39,"aaa")="土"</formula>
    </cfRule>
  </conditionalFormatting>
  <conditionalFormatting sqref="AC39">
    <cfRule type="expression" dxfId="83" priority="76">
      <formula>TEXT(AC39,"aaa")="日"</formula>
    </cfRule>
  </conditionalFormatting>
  <conditionalFormatting sqref="AC39">
    <cfRule type="expression" dxfId="82" priority="78">
      <formula>COUNTIF(#REF!,$E39)</formula>
    </cfRule>
  </conditionalFormatting>
  <conditionalFormatting sqref="AF39">
    <cfRule type="expression" dxfId="81" priority="74">
      <formula>TEXT(AF39,"aaa")="土"</formula>
    </cfRule>
  </conditionalFormatting>
  <conditionalFormatting sqref="AF39">
    <cfRule type="expression" dxfId="80" priority="73">
      <formula>TEXT(AF39,"aaa")="日"</formula>
    </cfRule>
  </conditionalFormatting>
  <conditionalFormatting sqref="AF39">
    <cfRule type="expression" dxfId="79" priority="75">
      <formula>COUNTIF(#REF!,$E39)</formula>
    </cfRule>
  </conditionalFormatting>
  <conditionalFormatting sqref="AL21">
    <cfRule type="expression" dxfId="78" priority="71">
      <formula>TEXT(AL21,"aaa")="土"</formula>
    </cfRule>
  </conditionalFormatting>
  <conditionalFormatting sqref="AL21">
    <cfRule type="expression" dxfId="77" priority="70">
      <formula>TEXT(AL21,"aaa")="日"</formula>
    </cfRule>
  </conditionalFormatting>
  <conditionalFormatting sqref="AL21">
    <cfRule type="expression" dxfId="76" priority="72">
      <formula>COUNTIF(#REF!,$AI21)</formula>
    </cfRule>
  </conditionalFormatting>
  <conditionalFormatting sqref="AL22">
    <cfRule type="expression" dxfId="75" priority="68">
      <formula>TEXT(AL22,"aaa")="土"</formula>
    </cfRule>
  </conditionalFormatting>
  <conditionalFormatting sqref="AL22">
    <cfRule type="expression" dxfId="74" priority="67">
      <formula>TEXT(AL22,"aaa")="日"</formula>
    </cfRule>
  </conditionalFormatting>
  <conditionalFormatting sqref="AL22">
    <cfRule type="expression" dxfId="73" priority="69">
      <formula>COUNTIF(#REF!,$AI22)</formula>
    </cfRule>
  </conditionalFormatting>
  <conditionalFormatting sqref="AL23">
    <cfRule type="expression" dxfId="72" priority="65">
      <formula>TEXT(AL23,"aaa")="土"</formula>
    </cfRule>
  </conditionalFormatting>
  <conditionalFormatting sqref="AL23">
    <cfRule type="expression" dxfId="71" priority="64">
      <formula>TEXT(AL23,"aaa")="日"</formula>
    </cfRule>
  </conditionalFormatting>
  <conditionalFormatting sqref="AL23">
    <cfRule type="expression" dxfId="70" priority="66">
      <formula>COUNTIF(#REF!,$AI23)</formula>
    </cfRule>
  </conditionalFormatting>
  <conditionalFormatting sqref="AL24">
    <cfRule type="expression" dxfId="69" priority="62">
      <formula>TEXT(AL24,"aaa")="土"</formula>
    </cfRule>
  </conditionalFormatting>
  <conditionalFormatting sqref="AL24">
    <cfRule type="expression" dxfId="68" priority="61">
      <formula>TEXT(AL24,"aaa")="日"</formula>
    </cfRule>
  </conditionalFormatting>
  <conditionalFormatting sqref="AL24">
    <cfRule type="expression" dxfId="67" priority="63">
      <formula>COUNTIF(#REF!,$AI24)</formula>
    </cfRule>
  </conditionalFormatting>
  <conditionalFormatting sqref="AL25">
    <cfRule type="expression" dxfId="66" priority="59">
      <formula>TEXT(AL25,"aaa")="土"</formula>
    </cfRule>
  </conditionalFormatting>
  <conditionalFormatting sqref="AL25">
    <cfRule type="expression" dxfId="65" priority="58">
      <formula>TEXT(AL25,"aaa")="日"</formula>
    </cfRule>
  </conditionalFormatting>
  <conditionalFormatting sqref="AL25">
    <cfRule type="expression" dxfId="64" priority="60">
      <formula>COUNTIF(#REF!,$AI25)</formula>
    </cfRule>
  </conditionalFormatting>
  <conditionalFormatting sqref="AL26">
    <cfRule type="expression" dxfId="63" priority="56">
      <formula>TEXT(AL26,"aaa")="土"</formula>
    </cfRule>
  </conditionalFormatting>
  <conditionalFormatting sqref="AL26">
    <cfRule type="expression" dxfId="62" priority="55">
      <formula>TEXT(AL26,"aaa")="日"</formula>
    </cfRule>
  </conditionalFormatting>
  <conditionalFormatting sqref="AL26">
    <cfRule type="expression" dxfId="61" priority="57">
      <formula>COUNTIF(#REF!,$AI26)</formula>
    </cfRule>
  </conditionalFormatting>
  <conditionalFormatting sqref="AL28">
    <cfRule type="expression" dxfId="60" priority="49">
      <formula>TEXT(AL28,"aaa")="日"</formula>
    </cfRule>
  </conditionalFormatting>
  <conditionalFormatting sqref="AL27">
    <cfRule type="expression" dxfId="59" priority="53">
      <formula>TEXT(AL27,"aaa")="土"</formula>
    </cfRule>
  </conditionalFormatting>
  <conditionalFormatting sqref="AL27">
    <cfRule type="expression" dxfId="58" priority="52">
      <formula>TEXT(AL27,"aaa")="日"</formula>
    </cfRule>
  </conditionalFormatting>
  <conditionalFormatting sqref="AL27">
    <cfRule type="expression" dxfId="57" priority="54">
      <formula>COUNTIF(#REF!,$AI27)</formula>
    </cfRule>
  </conditionalFormatting>
  <conditionalFormatting sqref="AL28">
    <cfRule type="expression" dxfId="56" priority="50">
      <formula>TEXT(AL28,"aaa")="土"</formula>
    </cfRule>
  </conditionalFormatting>
  <conditionalFormatting sqref="AL28">
    <cfRule type="expression" dxfId="55" priority="51">
      <formula>COUNTIF(#REF!,$AI28)</formula>
    </cfRule>
  </conditionalFormatting>
  <conditionalFormatting sqref="AL29:AL36">
    <cfRule type="expression" dxfId="54" priority="46">
      <formula>TEXT(AL29,"aaa")="日"</formula>
    </cfRule>
  </conditionalFormatting>
  <conditionalFormatting sqref="AL29:AL36">
    <cfRule type="expression" dxfId="53" priority="47">
      <formula>TEXT(AL29,"aaa")="土"</formula>
    </cfRule>
  </conditionalFormatting>
  <conditionalFormatting sqref="AL29:AL36">
    <cfRule type="expression" dxfId="52" priority="48">
      <formula>COUNTIF(#REF!,$AI29)</formula>
    </cfRule>
  </conditionalFormatting>
  <conditionalFormatting sqref="AL37:AL38">
    <cfRule type="expression" dxfId="51" priority="43">
      <formula>TEXT(AL37,"aaa")="日"</formula>
    </cfRule>
  </conditionalFormatting>
  <conditionalFormatting sqref="AL37:AL38">
    <cfRule type="expression" dxfId="50" priority="44">
      <formula>TEXT(AL37,"aaa")="土"</formula>
    </cfRule>
  </conditionalFormatting>
  <conditionalFormatting sqref="AL37:AL38">
    <cfRule type="expression" dxfId="49" priority="45">
      <formula>COUNTIF(#REF!,$AI37)</formula>
    </cfRule>
  </conditionalFormatting>
  <conditionalFormatting sqref="AO9">
    <cfRule type="expression" dxfId="48" priority="39">
      <formula>TEXT(AO9,"aaa")="土"</formula>
    </cfRule>
  </conditionalFormatting>
  <conditionalFormatting sqref="AO9">
    <cfRule type="expression" dxfId="47" priority="38">
      <formula>TEXT(AO9,"aaa")="日"</formula>
    </cfRule>
  </conditionalFormatting>
  <conditionalFormatting sqref="AO42">
    <cfRule type="expression" dxfId="46" priority="37">
      <formula>TEXT(AO42,"aaa")="土"</formula>
    </cfRule>
  </conditionalFormatting>
  <conditionalFormatting sqref="AO42">
    <cfRule type="expression" dxfId="45" priority="36">
      <formula>TEXT(AO42,"aaa")="日"</formula>
    </cfRule>
  </conditionalFormatting>
  <conditionalFormatting sqref="AO43:AO44">
    <cfRule type="expression" dxfId="44" priority="35">
      <formula>TEXT(AO43,"aaa")="土"</formula>
    </cfRule>
  </conditionalFormatting>
  <conditionalFormatting sqref="AO43:AO44">
    <cfRule type="expression" dxfId="43" priority="34">
      <formula>TEXT(AO43,"aaa")="日"</formula>
    </cfRule>
  </conditionalFormatting>
  <conditionalFormatting sqref="AO42:AO44">
    <cfRule type="expression" dxfId="42" priority="40">
      <formula>COUNTIF(#REF!,$Z42)</formula>
    </cfRule>
  </conditionalFormatting>
  <conditionalFormatting sqref="AO42:AO44">
    <cfRule type="expression" dxfId="41" priority="41">
      <formula>COUNTIF(#REF!,$W42)</formula>
    </cfRule>
  </conditionalFormatting>
  <conditionalFormatting sqref="AO9 AO42:AO44">
    <cfRule type="expression" dxfId="40" priority="42">
      <formula>COUNTIF(#REF!,$AI9)</formula>
    </cfRule>
  </conditionalFormatting>
  <dataValidations count="2">
    <dataValidation type="list" allowBlank="1" showInputMessage="1" showErrorMessage="1" sqref="AJ9:AJ39 AA9:AA38 AM9:AM39 U9:U39 C9:C39 AP9 O9:O39 X9:X39 F9:F36 I9:I39 R9:R38 AG9:AG38 AD9:AD39 L9:L38">
      <formula1>"○"</formula1>
    </dataValidation>
    <dataValidation type="list" allowBlank="1" showInputMessage="1" showErrorMessage="1" sqref="AO19:AP19">
      <formula1>"綾川町・まんのう町・直島町　以外,綾川町・まんのう町,直島町"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colBreaks count="1" manualBreakCount="1">
    <brk id="22" max="4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66FFFF"/>
    <pageSetUpPr fitToPage="1"/>
  </sheetPr>
  <dimension ref="A1:AB153"/>
  <sheetViews>
    <sheetView showGridLines="0" view="pageBreakPreview" zoomScale="66" zoomScaleNormal="75" zoomScaleSheetLayoutView="66" workbookViewId="0">
      <selection activeCell="P14" sqref="P14"/>
    </sheetView>
  </sheetViews>
  <sheetFormatPr defaultColWidth="9" defaultRowHeight="13.5" x14ac:dyDescent="0.3"/>
  <cols>
    <col min="1" max="1" width="1.58203125" style="1" customWidth="1"/>
    <col min="2" max="2" width="1.33203125" style="1" customWidth="1"/>
    <col min="3" max="3" width="1.5" style="1" customWidth="1"/>
    <col min="4" max="4" width="2.08203125" style="1" customWidth="1"/>
    <col min="5" max="5" width="9.58203125" style="1" customWidth="1"/>
    <col min="6" max="6" width="5.33203125" style="1" customWidth="1"/>
    <col min="7" max="7" width="12.08203125" style="1" customWidth="1"/>
    <col min="8" max="8" width="9.58203125" style="1" customWidth="1"/>
    <col min="9" max="9" width="5.33203125" style="1" customWidth="1"/>
    <col min="10" max="10" width="12.08203125" style="1" customWidth="1"/>
    <col min="11" max="11" width="5.33203125" style="1" customWidth="1"/>
    <col min="12" max="12" width="7.08203125" style="11" customWidth="1"/>
    <col min="13" max="13" width="9.08203125" style="1" customWidth="1"/>
    <col min="14" max="14" width="4.08203125" style="1" customWidth="1"/>
    <col min="15" max="15" width="10.58203125" style="1" customWidth="1"/>
    <col min="16" max="16" width="9.08203125" style="1" customWidth="1"/>
    <col min="17" max="17" width="4.08203125" style="1" customWidth="1"/>
    <col min="18" max="18" width="10.58203125" style="1" customWidth="1"/>
    <col min="19" max="19" width="1.08203125" style="11" customWidth="1"/>
    <col min="20" max="20" width="1.83203125" style="11" customWidth="1"/>
    <col min="21" max="21" width="0.75" style="1" customWidth="1"/>
    <col min="22" max="22" width="11.75" style="1" customWidth="1"/>
    <col min="23" max="23" width="0.58203125" style="16" customWidth="1"/>
    <col min="24" max="16384" width="9" style="1"/>
  </cols>
  <sheetData>
    <row r="1" spans="1:28" ht="27" customHeight="1" x14ac:dyDescent="0.3">
      <c r="A1" s="653" t="s">
        <v>51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11"/>
      <c r="V1" s="11"/>
      <c r="W1" s="1"/>
      <c r="Y1" s="16"/>
    </row>
    <row r="2" spans="1:28" ht="18" customHeight="1" x14ac:dyDescent="0.3">
      <c r="C2" s="81" t="s">
        <v>29</v>
      </c>
      <c r="D2" s="6"/>
      <c r="F2" s="82"/>
      <c r="I2" s="82"/>
      <c r="L2" s="1"/>
      <c r="M2" s="82" t="s">
        <v>59</v>
      </c>
      <c r="S2" s="1"/>
      <c r="T2" s="1"/>
      <c r="U2" s="11"/>
      <c r="V2" s="501"/>
      <c r="W2" s="499"/>
      <c r="X2" s="499"/>
      <c r="Y2" s="500"/>
      <c r="Z2" s="499"/>
      <c r="AA2" s="499"/>
      <c r="AB2" s="499"/>
    </row>
    <row r="3" spans="1:28" ht="26.5" customHeight="1" thickBot="1" x14ac:dyDescent="0.35">
      <c r="C3" s="24" t="s">
        <v>21</v>
      </c>
      <c r="D3" s="24"/>
      <c r="M3" s="101" t="s">
        <v>1</v>
      </c>
      <c r="N3" s="101"/>
      <c r="O3" s="102"/>
      <c r="P3" s="102"/>
      <c r="Q3" s="102"/>
      <c r="R3" s="102"/>
      <c r="U3" s="11"/>
      <c r="V3" s="501" t="s">
        <v>161</v>
      </c>
      <c r="W3" s="499"/>
      <c r="X3" s="499" t="s">
        <v>162</v>
      </c>
      <c r="Y3" s="500"/>
      <c r="Z3" s="499"/>
      <c r="AA3" s="499"/>
      <c r="AB3" s="499"/>
    </row>
    <row r="4" spans="1:28" ht="7.5" customHeight="1" thickTop="1" x14ac:dyDescent="0.3">
      <c r="C4" s="24"/>
      <c r="D4" s="24"/>
      <c r="M4" s="412"/>
      <c r="N4" s="412"/>
      <c r="O4" s="413"/>
      <c r="P4" s="413"/>
      <c r="Q4" s="413"/>
      <c r="R4" s="413"/>
      <c r="U4" s="11"/>
      <c r="V4" s="499">
        <f>IF(Q4="直島町",0,31)</f>
        <v>31</v>
      </c>
      <c r="W4" s="500"/>
      <c r="X4" s="499"/>
      <c r="Y4" s="499"/>
      <c r="Z4" s="499"/>
      <c r="AA4" s="499"/>
      <c r="AB4" s="499"/>
    </row>
    <row r="5" spans="1:28" ht="7.5" customHeight="1" x14ac:dyDescent="0.3">
      <c r="C5" s="24"/>
      <c r="D5" s="24"/>
      <c r="M5" s="412"/>
      <c r="N5" s="412"/>
      <c r="O5" s="413"/>
      <c r="P5" s="413"/>
      <c r="Q5" s="413"/>
      <c r="R5" s="413"/>
      <c r="U5" s="11"/>
      <c r="V5" s="499"/>
      <c r="W5" s="500"/>
      <c r="X5" s="499"/>
      <c r="Y5" s="499"/>
      <c r="Z5" s="499"/>
      <c r="AA5" s="499"/>
      <c r="AB5" s="499"/>
    </row>
    <row r="6" spans="1:28" ht="7.5" customHeight="1" x14ac:dyDescent="0.3">
      <c r="C6" s="24"/>
      <c r="D6" s="24"/>
      <c r="M6" s="412"/>
      <c r="N6" s="412"/>
      <c r="O6" s="413"/>
      <c r="P6" s="413"/>
      <c r="Q6" s="413"/>
      <c r="R6" s="413"/>
      <c r="U6" s="11"/>
      <c r="V6" s="499"/>
      <c r="W6" s="500"/>
      <c r="X6" s="499"/>
      <c r="Y6" s="499"/>
      <c r="Z6" s="499"/>
      <c r="AA6" s="499"/>
      <c r="AB6" s="499"/>
    </row>
    <row r="7" spans="1:28" ht="7.5" customHeight="1" x14ac:dyDescent="0.3">
      <c r="C7" s="24"/>
      <c r="D7" s="24"/>
      <c r="M7" s="412"/>
      <c r="N7" s="412"/>
      <c r="O7" s="413"/>
      <c r="P7" s="413"/>
      <c r="Q7" s="413"/>
      <c r="R7" s="413"/>
      <c r="U7" s="11"/>
      <c r="V7" s="499"/>
      <c r="W7" s="500"/>
      <c r="X7" s="499"/>
      <c r="Y7" s="499"/>
      <c r="Z7" s="499"/>
      <c r="AA7" s="499"/>
      <c r="AB7" s="499"/>
    </row>
    <row r="8" spans="1:28" ht="7.5" customHeight="1" x14ac:dyDescent="0.3">
      <c r="C8" s="24"/>
      <c r="D8" s="24"/>
      <c r="M8" s="412"/>
      <c r="N8" s="412"/>
      <c r="O8" s="413"/>
      <c r="P8" s="413"/>
      <c r="Q8" s="413"/>
      <c r="R8" s="413"/>
      <c r="U8" s="11"/>
      <c r="V8" s="499"/>
      <c r="W8" s="500"/>
      <c r="X8" s="499"/>
      <c r="Y8" s="499"/>
      <c r="Z8" s="499"/>
      <c r="AA8" s="499"/>
      <c r="AB8" s="499"/>
    </row>
    <row r="9" spans="1:28" ht="24.5" customHeight="1" x14ac:dyDescent="0.3">
      <c r="B9" s="24"/>
      <c r="C9" s="362"/>
      <c r="G9" s="91"/>
      <c r="H9" s="11"/>
      <c r="I9" s="11"/>
      <c r="J9" s="11"/>
      <c r="K9" s="11"/>
      <c r="M9" s="11"/>
      <c r="N9" s="11"/>
      <c r="P9" s="11"/>
      <c r="Q9" s="11"/>
      <c r="R9" s="11"/>
      <c r="U9" s="11"/>
      <c r="V9" s="499"/>
      <c r="W9" s="500"/>
      <c r="X9" s="499"/>
      <c r="Y9" s="499"/>
      <c r="Z9" s="499"/>
      <c r="AA9" s="499"/>
      <c r="AB9" s="499"/>
    </row>
    <row r="10" spans="1:28" ht="9" customHeight="1" thickBot="1" x14ac:dyDescent="0.35">
      <c r="C10" s="24"/>
      <c r="D10" s="24"/>
      <c r="M10" s="9"/>
      <c r="N10" s="9"/>
      <c r="O10" s="11"/>
      <c r="P10" s="11"/>
      <c r="Q10" s="11"/>
      <c r="R10" s="11"/>
      <c r="V10" s="499" t="s">
        <v>177</v>
      </c>
      <c r="W10" s="500"/>
      <c r="X10" s="499">
        <f>IF(P13="綾川町・まんのう町・直島町　以外",4,0)</f>
        <v>0</v>
      </c>
      <c r="Y10" s="499" t="s">
        <v>164</v>
      </c>
      <c r="Z10" s="499"/>
      <c r="AA10" s="499"/>
      <c r="AB10" s="499"/>
    </row>
    <row r="11" spans="1:28" ht="25" customHeight="1" thickBot="1" x14ac:dyDescent="0.35">
      <c r="B11" s="193"/>
      <c r="C11" s="601" t="s">
        <v>99</v>
      </c>
      <c r="D11" s="601"/>
      <c r="E11" s="601"/>
      <c r="F11" s="651"/>
      <c r="G11" s="651"/>
      <c r="H11" s="651"/>
      <c r="I11" s="196"/>
      <c r="J11" s="197"/>
      <c r="K11" s="195"/>
      <c r="L11" s="10"/>
      <c r="S11" s="9"/>
      <c r="T11" s="10"/>
      <c r="U11" s="2"/>
      <c r="V11" s="499"/>
      <c r="W11" s="500"/>
      <c r="X11" s="499"/>
      <c r="Y11" s="499"/>
      <c r="Z11" s="499"/>
      <c r="AA11" s="499"/>
      <c r="AB11" s="499"/>
    </row>
    <row r="12" spans="1:28" ht="9" customHeight="1" x14ac:dyDescent="0.3">
      <c r="B12" s="110"/>
      <c r="C12" s="190" t="e">
        <f>+DATE(C11,4,1)</f>
        <v>#VALUE!</v>
      </c>
      <c r="D12" s="190"/>
      <c r="E12" s="10"/>
      <c r="F12" s="10"/>
      <c r="G12" s="10"/>
      <c r="H12" s="10"/>
      <c r="I12" s="10"/>
      <c r="J12" s="10"/>
      <c r="K12" s="189"/>
      <c r="L12" s="10"/>
      <c r="M12" s="23"/>
      <c r="N12" s="23"/>
      <c r="O12" s="2"/>
      <c r="P12" s="4"/>
      <c r="Q12" s="4"/>
      <c r="R12" s="3"/>
      <c r="S12" s="9"/>
      <c r="T12" s="10"/>
      <c r="U12" s="2"/>
      <c r="V12" s="499" t="s">
        <v>164</v>
      </c>
      <c r="W12" s="500"/>
      <c r="X12" s="499">
        <v>7</v>
      </c>
      <c r="Y12" s="499" t="s">
        <v>163</v>
      </c>
      <c r="Z12" s="499"/>
      <c r="AA12" s="499"/>
      <c r="AB12" s="499"/>
    </row>
    <row r="13" spans="1:28" s="6" customFormat="1" ht="20.149999999999999" customHeight="1" x14ac:dyDescent="0.3">
      <c r="B13" s="111"/>
      <c r="C13" s="597"/>
      <c r="D13" s="597"/>
      <c r="E13" s="592">
        <f>DATE(2019,1,1)</f>
        <v>43466</v>
      </c>
      <c r="F13" s="593"/>
      <c r="G13" s="594"/>
      <c r="H13" s="592">
        <f>DATE(2019,2,1)</f>
        <v>43497</v>
      </c>
      <c r="I13" s="593"/>
      <c r="J13" s="594"/>
      <c r="K13" s="169"/>
      <c r="L13" s="162"/>
      <c r="M13" s="655"/>
      <c r="N13" s="655"/>
      <c r="O13" s="655"/>
      <c r="P13" s="602"/>
      <c r="Q13" s="602"/>
      <c r="R13" s="664"/>
      <c r="S13" s="162"/>
      <c r="T13" s="73"/>
      <c r="U13" s="5"/>
      <c r="V13" s="499">
        <f>IF(P13="綾川町・まんのう町・直島町　以外",COUNTIF(F35:F38,"○"),0)</f>
        <v>0</v>
      </c>
      <c r="W13" s="502"/>
      <c r="X13" s="503">
        <f>X10+X12</f>
        <v>7</v>
      </c>
      <c r="Y13" s="503"/>
      <c r="Z13" s="506"/>
      <c r="AA13" s="506"/>
      <c r="AB13" s="506"/>
    </row>
    <row r="14" spans="1:28" s="19" customFormat="1" ht="20.149999999999999" customHeight="1" thickBot="1" x14ac:dyDescent="0.35">
      <c r="B14" s="112"/>
      <c r="C14" s="187"/>
      <c r="D14" s="187"/>
      <c r="E14" s="165" t="s">
        <v>10</v>
      </c>
      <c r="F14" s="31" t="s">
        <v>13</v>
      </c>
      <c r="G14" s="166" t="s">
        <v>0</v>
      </c>
      <c r="H14" s="165" t="s">
        <v>10</v>
      </c>
      <c r="I14" s="31" t="s">
        <v>13</v>
      </c>
      <c r="J14" s="166" t="s">
        <v>0</v>
      </c>
      <c r="K14" s="158"/>
      <c r="L14" s="57"/>
      <c r="M14" s="162"/>
      <c r="N14" s="162"/>
      <c r="O14" s="162"/>
      <c r="P14" s="162"/>
      <c r="Q14" s="162"/>
      <c r="R14" s="162"/>
      <c r="S14" s="162"/>
      <c r="T14" s="73"/>
      <c r="U14" s="20"/>
      <c r="V14" s="499"/>
      <c r="W14" s="504"/>
      <c r="X14" s="499"/>
      <c r="Y14" s="499"/>
      <c r="Z14" s="509"/>
      <c r="AA14" s="509"/>
      <c r="AB14" s="509"/>
    </row>
    <row r="15" spans="1:28" s="8" customFormat="1" ht="16" customHeight="1" thickTop="1" thickBot="1" x14ac:dyDescent="0.35">
      <c r="B15" s="114"/>
      <c r="C15" s="187"/>
      <c r="D15" s="170"/>
      <c r="E15" s="247">
        <f>E13</f>
        <v>43466</v>
      </c>
      <c r="F15" s="540"/>
      <c r="G15" s="470"/>
      <c r="H15" s="408">
        <f>H13</f>
        <v>43497</v>
      </c>
      <c r="I15" s="555"/>
      <c r="J15" s="479"/>
      <c r="K15" s="122"/>
      <c r="L15" s="37"/>
      <c r="M15" s="12"/>
      <c r="N15" s="12"/>
      <c r="O15" s="28"/>
      <c r="P15" s="12"/>
      <c r="Q15" s="12"/>
      <c r="R15" s="28"/>
      <c r="S15" s="28"/>
      <c r="T15" s="36"/>
      <c r="U15" s="7"/>
      <c r="V15" s="499" t="s">
        <v>163</v>
      </c>
      <c r="W15" s="505"/>
      <c r="X15" s="499">
        <f>IF(P13="直島町",0,1)</f>
        <v>1</v>
      </c>
      <c r="Y15" s="506" t="s">
        <v>165</v>
      </c>
      <c r="Z15" s="511"/>
      <c r="AA15" s="511"/>
      <c r="AB15" s="511"/>
    </row>
    <row r="16" spans="1:28" s="8" customFormat="1" ht="16" customHeight="1" thickTop="1" x14ac:dyDescent="0.3">
      <c r="B16" s="114"/>
      <c r="C16" s="187"/>
      <c r="D16" s="170"/>
      <c r="E16" s="174">
        <f>E15+1</f>
        <v>43467</v>
      </c>
      <c r="F16" s="541"/>
      <c r="G16" s="237"/>
      <c r="H16" s="407">
        <f>H15+1</f>
        <v>43498</v>
      </c>
      <c r="I16" s="556"/>
      <c r="J16" s="480"/>
      <c r="K16" s="122"/>
      <c r="L16" s="37"/>
      <c r="M16" s="12"/>
      <c r="N16" s="12"/>
      <c r="O16" s="28"/>
      <c r="P16" s="12"/>
      <c r="Q16" s="12"/>
      <c r="R16" s="28"/>
      <c r="S16" s="28"/>
      <c r="T16" s="36"/>
      <c r="U16" s="7"/>
      <c r="V16" s="507">
        <f>COUNTIF(F39:F45,"○")</f>
        <v>0</v>
      </c>
      <c r="W16" s="508"/>
      <c r="X16" s="509">
        <f>X13*X15</f>
        <v>7</v>
      </c>
      <c r="Y16" s="509" t="s">
        <v>166</v>
      </c>
      <c r="Z16" s="511"/>
      <c r="AA16" s="511"/>
      <c r="AB16" s="511"/>
    </row>
    <row r="17" spans="2:28" s="8" customFormat="1" ht="16" customHeight="1" x14ac:dyDescent="0.3">
      <c r="B17" s="114"/>
      <c r="C17" s="187"/>
      <c r="D17" s="170"/>
      <c r="E17" s="174">
        <f t="shared" ref="E17:E42" si="0">E16+1</f>
        <v>43468</v>
      </c>
      <c r="F17" s="541"/>
      <c r="G17" s="237"/>
      <c r="H17" s="179">
        <f t="shared" ref="H17:H42" si="1">H16+1</f>
        <v>43499</v>
      </c>
      <c r="I17" s="557"/>
      <c r="J17" s="481"/>
      <c r="K17" s="122"/>
      <c r="L17" s="37"/>
      <c r="M17" s="12"/>
      <c r="N17" s="12"/>
      <c r="O17" s="28"/>
      <c r="P17" s="12"/>
      <c r="Q17" s="12"/>
      <c r="R17" s="28"/>
      <c r="S17" s="28"/>
      <c r="T17" s="36"/>
      <c r="U17" s="7"/>
      <c r="V17" s="506" t="s">
        <v>171</v>
      </c>
      <c r="W17" s="510">
        <v>42370</v>
      </c>
      <c r="X17" s="511"/>
      <c r="Y17" s="511"/>
      <c r="Z17" s="511"/>
      <c r="AA17" s="511"/>
      <c r="AB17" s="511"/>
    </row>
    <row r="18" spans="2:28" s="8" customFormat="1" ht="16" customHeight="1" x14ac:dyDescent="0.3">
      <c r="B18" s="114"/>
      <c r="C18" s="187"/>
      <c r="D18" s="170"/>
      <c r="E18" s="174">
        <f>E17+1</f>
        <v>43469</v>
      </c>
      <c r="F18" s="541"/>
      <c r="G18" s="237"/>
      <c r="H18" s="179">
        <f>H17+1</f>
        <v>43500</v>
      </c>
      <c r="I18" s="557"/>
      <c r="J18" s="481"/>
      <c r="K18" s="122"/>
      <c r="L18" s="37"/>
      <c r="M18" s="12"/>
      <c r="N18" s="12"/>
      <c r="O18" s="28"/>
      <c r="P18" s="12"/>
      <c r="Q18" s="12"/>
      <c r="R18" s="28"/>
      <c r="S18" s="28"/>
      <c r="T18" s="36"/>
      <c r="U18" s="7"/>
      <c r="V18" s="512">
        <f>V13+V16</f>
        <v>0</v>
      </c>
      <c r="W18" s="510">
        <v>42380</v>
      </c>
      <c r="X18" s="511"/>
      <c r="Y18" s="511"/>
      <c r="Z18" s="511"/>
      <c r="AA18" s="511"/>
      <c r="AB18" s="511"/>
    </row>
    <row r="19" spans="2:28" s="8" customFormat="1" ht="16" customHeight="1" x14ac:dyDescent="0.3">
      <c r="B19" s="114"/>
      <c r="C19" s="187"/>
      <c r="D19" s="170"/>
      <c r="E19" s="174">
        <f t="shared" si="0"/>
        <v>43470</v>
      </c>
      <c r="F19" s="541"/>
      <c r="G19" s="237"/>
      <c r="H19" s="179">
        <f t="shared" si="1"/>
        <v>43501</v>
      </c>
      <c r="I19" s="557"/>
      <c r="J19" s="481"/>
      <c r="K19" s="122"/>
      <c r="L19" s="37"/>
      <c r="M19" s="12"/>
      <c r="N19" s="12"/>
      <c r="O19" s="28"/>
      <c r="P19" s="12"/>
      <c r="Q19" s="12"/>
      <c r="R19" s="28"/>
      <c r="S19" s="28"/>
      <c r="T19" s="36"/>
      <c r="U19" s="7"/>
      <c r="V19" s="506" t="s">
        <v>165</v>
      </c>
      <c r="W19" s="510">
        <v>42411</v>
      </c>
      <c r="X19" s="499">
        <f>IF(Q4="直島町",12,13)</f>
        <v>13</v>
      </c>
      <c r="Y19" s="511" t="s">
        <v>167</v>
      </c>
      <c r="Z19" s="511"/>
      <c r="AA19" s="511"/>
      <c r="AB19" s="511"/>
    </row>
    <row r="20" spans="2:28" s="8" customFormat="1" ht="16" customHeight="1" x14ac:dyDescent="0.3">
      <c r="B20" s="114"/>
      <c r="C20" s="187"/>
      <c r="D20" s="170"/>
      <c r="E20" s="248">
        <f t="shared" si="0"/>
        <v>43471</v>
      </c>
      <c r="F20" s="542"/>
      <c r="G20" s="471"/>
      <c r="H20" s="217">
        <f t="shared" si="1"/>
        <v>43502</v>
      </c>
      <c r="I20" s="558"/>
      <c r="J20" s="482"/>
      <c r="K20" s="122"/>
      <c r="L20" s="37"/>
      <c r="M20" s="12"/>
      <c r="N20" s="12"/>
      <c r="O20" s="28"/>
      <c r="P20" s="12"/>
      <c r="Q20" s="12"/>
      <c r="R20" s="28"/>
      <c r="S20" s="28"/>
      <c r="T20" s="36"/>
      <c r="U20" s="7"/>
      <c r="V20" s="499">
        <f>IF(P13="直島町",0,1)</f>
        <v>1</v>
      </c>
      <c r="W20" s="525">
        <v>42489</v>
      </c>
      <c r="X20" s="511"/>
      <c r="Y20" s="511"/>
      <c r="Z20" s="511"/>
      <c r="AA20" s="511"/>
      <c r="AB20" s="511"/>
    </row>
    <row r="21" spans="2:28" s="8" customFormat="1" ht="16" customHeight="1" x14ac:dyDescent="0.3">
      <c r="B21" s="114"/>
      <c r="C21" s="187"/>
      <c r="D21" s="170"/>
      <c r="E21" s="247">
        <f t="shared" si="0"/>
        <v>43472</v>
      </c>
      <c r="F21" s="540"/>
      <c r="G21" s="470"/>
      <c r="H21" s="209">
        <f t="shared" si="1"/>
        <v>43503</v>
      </c>
      <c r="I21" s="559"/>
      <c r="J21" s="483"/>
      <c r="K21" s="122"/>
      <c r="L21" s="37"/>
      <c r="M21" s="12"/>
      <c r="N21" s="12"/>
      <c r="O21" s="28"/>
      <c r="P21" s="12"/>
      <c r="Q21" s="12"/>
      <c r="R21" s="28"/>
      <c r="S21" s="28"/>
      <c r="T21" s="36"/>
      <c r="U21" s="7"/>
      <c r="V21" s="513">
        <f>V18*V20</f>
        <v>0</v>
      </c>
      <c r="W21" s="525">
        <v>42493</v>
      </c>
      <c r="X21" s="511"/>
      <c r="Y21" s="511"/>
      <c r="Z21" s="511"/>
      <c r="AA21" s="511"/>
      <c r="AB21" s="511"/>
    </row>
    <row r="22" spans="2:28" s="8" customFormat="1" ht="16" customHeight="1" x14ac:dyDescent="0.3">
      <c r="B22" s="114"/>
      <c r="C22" s="187"/>
      <c r="D22" s="170"/>
      <c r="E22" s="174">
        <f t="shared" si="0"/>
        <v>43473</v>
      </c>
      <c r="F22" s="541"/>
      <c r="G22" s="237"/>
      <c r="H22" s="179">
        <f t="shared" si="1"/>
        <v>43504</v>
      </c>
      <c r="I22" s="557"/>
      <c r="J22" s="481"/>
      <c r="K22" s="122"/>
      <c r="L22" s="37"/>
      <c r="M22" s="12"/>
      <c r="N22" s="12"/>
      <c r="O22" s="28"/>
      <c r="P22" s="12"/>
      <c r="Q22" s="12"/>
      <c r="R22" s="28"/>
      <c r="S22" s="28"/>
      <c r="T22" s="36"/>
      <c r="U22" s="7"/>
      <c r="V22" s="514"/>
      <c r="W22" s="525">
        <v>42494</v>
      </c>
      <c r="X22" s="511" t="s">
        <v>178</v>
      </c>
      <c r="Y22" s="511"/>
      <c r="Z22" s="511"/>
      <c r="AA22" s="511"/>
      <c r="AB22" s="511"/>
    </row>
    <row r="23" spans="2:28" s="8" customFormat="1" ht="16" customHeight="1" x14ac:dyDescent="0.3">
      <c r="B23" s="114"/>
      <c r="C23" s="187"/>
      <c r="D23" s="170"/>
      <c r="E23" s="174">
        <f t="shared" si="0"/>
        <v>43474</v>
      </c>
      <c r="F23" s="541"/>
      <c r="G23" s="237"/>
      <c r="H23" s="179">
        <f t="shared" si="1"/>
        <v>43505</v>
      </c>
      <c r="I23" s="557"/>
      <c r="J23" s="481"/>
      <c r="K23" s="122"/>
      <c r="L23" s="37"/>
      <c r="M23" s="12"/>
      <c r="N23" s="12"/>
      <c r="O23" s="28"/>
      <c r="P23" s="12"/>
      <c r="Q23" s="12"/>
      <c r="R23" s="28"/>
      <c r="S23" s="28"/>
      <c r="T23" s="36"/>
      <c r="U23" s="7"/>
      <c r="V23" s="514"/>
      <c r="W23" s="525">
        <v>42495</v>
      </c>
      <c r="X23" s="499" t="s">
        <v>165</v>
      </c>
      <c r="Y23" s="511"/>
      <c r="Z23" s="511"/>
      <c r="AA23" s="511"/>
      <c r="AB23" s="511"/>
    </row>
    <row r="24" spans="2:28" s="8" customFormat="1" ht="16" customHeight="1" x14ac:dyDescent="0.3">
      <c r="B24" s="114"/>
      <c r="C24" s="187"/>
      <c r="D24" s="170"/>
      <c r="E24" s="174">
        <f t="shared" si="0"/>
        <v>43475</v>
      </c>
      <c r="F24" s="541"/>
      <c r="G24" s="237"/>
      <c r="H24" s="179">
        <f t="shared" si="1"/>
        <v>43506</v>
      </c>
      <c r="I24" s="557"/>
      <c r="J24" s="481"/>
      <c r="K24" s="122"/>
      <c r="L24" s="37"/>
      <c r="M24" s="12"/>
      <c r="N24" s="12"/>
      <c r="O24" s="28"/>
      <c r="P24" s="12"/>
      <c r="Q24" s="12"/>
      <c r="R24" s="28"/>
      <c r="S24" s="28"/>
      <c r="T24" s="36"/>
      <c r="U24" s="7"/>
      <c r="V24" s="514" t="s">
        <v>175</v>
      </c>
      <c r="W24" s="525">
        <v>42569</v>
      </c>
      <c r="X24" s="499">
        <f>IF(P13="直島町",0,COUNTIF(I15,"○"))</f>
        <v>0</v>
      </c>
      <c r="Y24" s="511"/>
      <c r="Z24" s="511"/>
      <c r="AA24" s="511"/>
      <c r="AB24" s="511"/>
    </row>
    <row r="25" spans="2:28" s="8" customFormat="1" ht="16" customHeight="1" x14ac:dyDescent="0.3">
      <c r="B25" s="114"/>
      <c r="C25" s="187"/>
      <c r="D25" s="170"/>
      <c r="E25" s="248">
        <f t="shared" si="0"/>
        <v>43476</v>
      </c>
      <c r="F25" s="542"/>
      <c r="G25" s="471"/>
      <c r="H25" s="217">
        <f t="shared" si="1"/>
        <v>43507</v>
      </c>
      <c r="I25" s="558"/>
      <c r="J25" s="482"/>
      <c r="K25" s="122"/>
      <c r="L25" s="37"/>
      <c r="M25" s="12"/>
      <c r="N25" s="12"/>
      <c r="O25" s="28"/>
      <c r="P25" s="12"/>
      <c r="Q25" s="12"/>
      <c r="R25" s="28"/>
      <c r="S25" s="28"/>
      <c r="T25" s="36"/>
      <c r="U25" s="7"/>
      <c r="V25" s="499" t="s">
        <v>164</v>
      </c>
      <c r="W25" s="525">
        <v>42632</v>
      </c>
      <c r="X25" s="499"/>
      <c r="Y25" s="511"/>
      <c r="Z25" s="511"/>
      <c r="AA25" s="511"/>
      <c r="AB25" s="511"/>
    </row>
    <row r="26" spans="2:28" s="8" customFormat="1" ht="16" customHeight="1" x14ac:dyDescent="0.3">
      <c r="B26" s="114"/>
      <c r="C26" s="187"/>
      <c r="D26" s="170"/>
      <c r="E26" s="279">
        <f t="shared" si="0"/>
        <v>43477</v>
      </c>
      <c r="F26" s="543"/>
      <c r="G26" s="471"/>
      <c r="H26" s="326">
        <f t="shared" si="1"/>
        <v>43508</v>
      </c>
      <c r="I26" s="560"/>
      <c r="J26" s="482"/>
      <c r="K26" s="122"/>
      <c r="L26" s="37"/>
      <c r="M26" s="12"/>
      <c r="N26" s="12"/>
      <c r="O26" s="28"/>
      <c r="P26" s="12"/>
      <c r="Q26" s="12"/>
      <c r="R26" s="28"/>
      <c r="S26" s="28"/>
      <c r="T26" s="36"/>
      <c r="U26" s="7"/>
      <c r="V26" s="499">
        <f>IF(Q11="綾川町・まんのう町・直島町　以外",4,0)</f>
        <v>0</v>
      </c>
      <c r="W26" s="525">
        <v>42635</v>
      </c>
      <c r="X26" s="499" t="s">
        <v>172</v>
      </c>
      <c r="Y26" s="511"/>
      <c r="Z26" s="511"/>
      <c r="AA26" s="511"/>
      <c r="AB26" s="511"/>
    </row>
    <row r="27" spans="2:28" s="8" customFormat="1" ht="16" customHeight="1" thickBot="1" x14ac:dyDescent="0.35">
      <c r="B27" s="114"/>
      <c r="C27" s="187"/>
      <c r="D27" s="170"/>
      <c r="E27" s="247">
        <f t="shared" si="0"/>
        <v>43478</v>
      </c>
      <c r="F27" s="544"/>
      <c r="G27" s="470"/>
      <c r="H27" s="410">
        <f t="shared" si="1"/>
        <v>43509</v>
      </c>
      <c r="I27" s="561"/>
      <c r="J27" s="537"/>
      <c r="K27" s="122"/>
      <c r="L27" s="37"/>
      <c r="M27" s="12"/>
      <c r="N27" s="12"/>
      <c r="O27" s="28"/>
      <c r="P27" s="12"/>
      <c r="Q27" s="12"/>
      <c r="R27" s="28"/>
      <c r="S27" s="28"/>
      <c r="T27" s="36"/>
      <c r="U27" s="7"/>
      <c r="V27" s="514" t="s">
        <v>176</v>
      </c>
      <c r="W27" s="525">
        <v>42653</v>
      </c>
      <c r="X27" s="507">
        <f>COUNTIF(I16:I27,"○")</f>
        <v>0</v>
      </c>
      <c r="Y27" s="511"/>
      <c r="Z27" s="511"/>
      <c r="AA27" s="511"/>
      <c r="AB27" s="511"/>
    </row>
    <row r="28" spans="2:28" s="8" customFormat="1" ht="16" customHeight="1" thickTop="1" x14ac:dyDescent="0.3">
      <c r="B28" s="114"/>
      <c r="C28" s="187"/>
      <c r="D28" s="170"/>
      <c r="E28" s="248">
        <f t="shared" si="0"/>
        <v>43479</v>
      </c>
      <c r="F28" s="545"/>
      <c r="G28" s="531"/>
      <c r="H28" s="332">
        <f t="shared" si="1"/>
        <v>43510</v>
      </c>
      <c r="I28" s="547"/>
      <c r="J28" s="535"/>
      <c r="K28" s="122"/>
      <c r="L28" s="37"/>
      <c r="M28" s="12"/>
      <c r="N28" s="12"/>
      <c r="O28" s="28"/>
      <c r="P28" s="12"/>
      <c r="Q28" s="12"/>
      <c r="R28" s="28"/>
      <c r="S28" s="28"/>
      <c r="T28" s="36"/>
      <c r="U28" s="7"/>
      <c r="V28" s="513">
        <v>7</v>
      </c>
      <c r="W28" s="525">
        <v>42677</v>
      </c>
      <c r="X28" s="506" t="s">
        <v>171</v>
      </c>
      <c r="Y28" s="511"/>
      <c r="Z28" s="511"/>
      <c r="AA28" s="511"/>
      <c r="AB28" s="511"/>
    </row>
    <row r="29" spans="2:28" s="8" customFormat="1" ht="16" customHeight="1" x14ac:dyDescent="0.3">
      <c r="B29" s="114"/>
      <c r="C29" s="187"/>
      <c r="D29" s="170"/>
      <c r="E29" s="247">
        <f t="shared" si="0"/>
        <v>43480</v>
      </c>
      <c r="F29" s="545"/>
      <c r="G29" s="532"/>
      <c r="H29" s="247">
        <f t="shared" si="1"/>
        <v>43511</v>
      </c>
      <c r="I29" s="545"/>
      <c r="J29" s="532"/>
      <c r="K29" s="122"/>
      <c r="L29" s="37"/>
      <c r="M29" s="12"/>
      <c r="N29" s="12"/>
      <c r="O29" s="28"/>
      <c r="P29" s="12"/>
      <c r="Q29" s="12"/>
      <c r="R29" s="28"/>
      <c r="S29" s="28"/>
      <c r="T29" s="36"/>
      <c r="U29" s="7"/>
      <c r="V29" s="506" t="s">
        <v>171</v>
      </c>
      <c r="W29" s="525">
        <v>42697</v>
      </c>
      <c r="X29" s="512">
        <f>X24+X27</f>
        <v>0</v>
      </c>
      <c r="Y29" s="511"/>
      <c r="Z29" s="511"/>
      <c r="AA29" s="511"/>
      <c r="AB29" s="511"/>
    </row>
    <row r="30" spans="2:28" s="8" customFormat="1" ht="16" customHeight="1" x14ac:dyDescent="0.3">
      <c r="B30" s="114"/>
      <c r="C30" s="187"/>
      <c r="D30" s="170"/>
      <c r="E30" s="174">
        <f t="shared" si="0"/>
        <v>43481</v>
      </c>
      <c r="F30" s="545"/>
      <c r="G30" s="533"/>
      <c r="H30" s="174">
        <f t="shared" si="1"/>
        <v>43512</v>
      </c>
      <c r="I30" s="545"/>
      <c r="J30" s="533"/>
      <c r="K30" s="122"/>
      <c r="L30" s="37"/>
      <c r="M30" s="12"/>
      <c r="N30" s="12"/>
      <c r="O30" s="28"/>
      <c r="P30" s="12"/>
      <c r="Q30" s="12"/>
      <c r="R30" s="28"/>
      <c r="S30" s="28"/>
      <c r="T30" s="36"/>
      <c r="U30" s="7"/>
      <c r="V30" s="512">
        <f>V26+V28</f>
        <v>7</v>
      </c>
      <c r="W30" s="525">
        <v>42727</v>
      </c>
      <c r="X30" s="511"/>
      <c r="Y30" s="511"/>
      <c r="Z30" s="511"/>
      <c r="AA30" s="511"/>
      <c r="AB30" s="511"/>
    </row>
    <row r="31" spans="2:28" s="8" customFormat="1" ht="16" customHeight="1" x14ac:dyDescent="0.3">
      <c r="B31" s="114"/>
      <c r="C31" s="187"/>
      <c r="D31" s="170"/>
      <c r="E31" s="174">
        <f t="shared" si="0"/>
        <v>43482</v>
      </c>
      <c r="F31" s="545"/>
      <c r="G31" s="533"/>
      <c r="H31" s="174">
        <f t="shared" si="1"/>
        <v>43513</v>
      </c>
      <c r="I31" s="545"/>
      <c r="J31" s="533"/>
      <c r="K31" s="122"/>
      <c r="L31" s="37"/>
      <c r="M31" s="12"/>
      <c r="N31" s="12"/>
      <c r="O31" s="28"/>
      <c r="P31" s="12"/>
      <c r="Q31" s="12"/>
      <c r="R31" s="28"/>
      <c r="S31" s="28"/>
      <c r="T31" s="36"/>
      <c r="U31" s="7"/>
      <c r="V31" s="506" t="s">
        <v>165</v>
      </c>
      <c r="W31" s="504">
        <v>42736</v>
      </c>
      <c r="X31" s="511"/>
      <c r="Y31" s="511"/>
      <c r="Z31" s="511"/>
      <c r="AA31" s="511"/>
      <c r="AB31" s="511"/>
    </row>
    <row r="32" spans="2:28" s="8" customFormat="1" ht="16" customHeight="1" x14ac:dyDescent="0.3">
      <c r="B32" s="114"/>
      <c r="C32" s="187"/>
      <c r="D32" s="170"/>
      <c r="E32" s="174">
        <f t="shared" si="0"/>
        <v>43483</v>
      </c>
      <c r="F32" s="545"/>
      <c r="G32" s="533"/>
      <c r="H32" s="174">
        <f t="shared" si="1"/>
        <v>43514</v>
      </c>
      <c r="I32" s="545"/>
      <c r="J32" s="533"/>
      <c r="K32" s="122"/>
      <c r="L32" s="37"/>
      <c r="M32" s="12"/>
      <c r="N32" s="12"/>
      <c r="O32" s="28"/>
      <c r="P32" s="12"/>
      <c r="Q32" s="12"/>
      <c r="R32" s="28"/>
      <c r="S32" s="28"/>
      <c r="T32" s="36"/>
      <c r="U32" s="7"/>
      <c r="V32" s="499">
        <f>IF(P13="直島町",0,1)</f>
        <v>1</v>
      </c>
      <c r="W32" s="504">
        <v>42744</v>
      </c>
      <c r="X32" s="511"/>
      <c r="Y32" s="511"/>
      <c r="Z32" s="511"/>
      <c r="AA32" s="511"/>
      <c r="AB32" s="511"/>
    </row>
    <row r="33" spans="1:28" s="8" customFormat="1" ht="16" customHeight="1" x14ac:dyDescent="0.3">
      <c r="B33" s="114"/>
      <c r="C33" s="187"/>
      <c r="D33" s="170"/>
      <c r="E33" s="280">
        <f t="shared" si="0"/>
        <v>43484</v>
      </c>
      <c r="F33" s="546"/>
      <c r="G33" s="534"/>
      <c r="H33" s="280">
        <f t="shared" si="1"/>
        <v>43515</v>
      </c>
      <c r="I33" s="546"/>
      <c r="J33" s="534"/>
      <c r="K33" s="122"/>
      <c r="L33" s="37"/>
      <c r="M33" s="12"/>
      <c r="N33" s="12"/>
      <c r="O33" s="28"/>
      <c r="P33" s="12"/>
      <c r="Q33" s="12"/>
      <c r="R33" s="28"/>
      <c r="S33" s="28"/>
      <c r="T33" s="36"/>
      <c r="U33" s="7"/>
      <c r="V33" s="513">
        <f>V30*V32</f>
        <v>7</v>
      </c>
      <c r="W33" s="504">
        <v>42777</v>
      </c>
      <c r="X33" s="511"/>
      <c r="Y33" s="511"/>
      <c r="Z33" s="511"/>
      <c r="AA33" s="511"/>
      <c r="AB33" s="511"/>
    </row>
    <row r="34" spans="1:28" s="8" customFormat="1" ht="16" customHeight="1" thickBot="1" x14ac:dyDescent="0.35">
      <c r="B34" s="114"/>
      <c r="C34" s="187"/>
      <c r="D34" s="170"/>
      <c r="E34" s="332">
        <f t="shared" si="0"/>
        <v>43485</v>
      </c>
      <c r="F34" s="547"/>
      <c r="G34" s="535"/>
      <c r="H34" s="331">
        <f t="shared" si="1"/>
        <v>43516</v>
      </c>
      <c r="I34" s="562"/>
      <c r="J34" s="538"/>
      <c r="K34" s="122"/>
      <c r="L34" s="37"/>
      <c r="M34" s="12"/>
      <c r="N34" s="12"/>
      <c r="O34" s="28"/>
      <c r="P34" s="12"/>
      <c r="Q34" s="12"/>
      <c r="R34" s="28"/>
      <c r="S34" s="28"/>
      <c r="T34" s="36"/>
      <c r="U34" s="7"/>
      <c r="V34" s="514"/>
      <c r="W34" s="504">
        <v>42814</v>
      </c>
      <c r="X34" s="511"/>
      <c r="Y34" s="511"/>
      <c r="Z34" s="511"/>
      <c r="AA34" s="511"/>
      <c r="AB34" s="511"/>
    </row>
    <row r="35" spans="1:28" s="8" customFormat="1" ht="16" customHeight="1" thickTop="1" x14ac:dyDescent="0.3">
      <c r="B35" s="114"/>
      <c r="C35" s="187"/>
      <c r="D35" s="170"/>
      <c r="E35" s="178">
        <f t="shared" si="0"/>
        <v>43486</v>
      </c>
      <c r="F35" s="548"/>
      <c r="G35" s="490"/>
      <c r="H35" s="329">
        <f t="shared" si="1"/>
        <v>43517</v>
      </c>
      <c r="I35" s="563"/>
      <c r="J35" s="533"/>
      <c r="K35" s="122"/>
      <c r="L35" s="37"/>
      <c r="M35" s="12"/>
      <c r="N35" s="12"/>
      <c r="O35" s="28"/>
      <c r="P35" s="12"/>
      <c r="Q35" s="12"/>
      <c r="R35" s="28"/>
      <c r="S35" s="28"/>
      <c r="T35" s="36"/>
      <c r="U35" s="7"/>
      <c r="V35" s="514" t="s">
        <v>179</v>
      </c>
      <c r="W35" s="504">
        <v>42854</v>
      </c>
      <c r="X35" s="511"/>
      <c r="Y35" s="511"/>
      <c r="Z35" s="511"/>
      <c r="AA35" s="511"/>
      <c r="AB35" s="511"/>
    </row>
    <row r="36" spans="1:28" s="8" customFormat="1" ht="16" customHeight="1" x14ac:dyDescent="0.3">
      <c r="B36" s="114"/>
      <c r="C36" s="187"/>
      <c r="D36" s="170"/>
      <c r="E36" s="179">
        <f t="shared" si="0"/>
        <v>43487</v>
      </c>
      <c r="F36" s="549"/>
      <c r="G36" s="481"/>
      <c r="H36" s="329">
        <f t="shared" si="1"/>
        <v>43518</v>
      </c>
      <c r="I36" s="563"/>
      <c r="J36" s="533"/>
      <c r="K36" s="122"/>
      <c r="L36" s="37"/>
      <c r="M36" s="12"/>
      <c r="N36" s="12"/>
      <c r="O36" s="28"/>
      <c r="P36" s="12"/>
      <c r="Q36" s="12"/>
      <c r="R36" s="28"/>
      <c r="S36" s="28"/>
      <c r="T36" s="36"/>
      <c r="U36" s="7"/>
      <c r="V36" s="499" t="s">
        <v>159</v>
      </c>
      <c r="W36" s="504">
        <v>42858</v>
      </c>
      <c r="X36" s="511"/>
      <c r="Y36" s="511"/>
      <c r="Z36" s="511"/>
      <c r="AA36" s="511"/>
      <c r="AB36" s="511"/>
    </row>
    <row r="37" spans="1:28" s="8" customFormat="1" ht="16" customHeight="1" x14ac:dyDescent="0.3">
      <c r="B37" s="114"/>
      <c r="C37" s="187"/>
      <c r="D37" s="170"/>
      <c r="E37" s="179">
        <f t="shared" si="0"/>
        <v>43488</v>
      </c>
      <c r="F37" s="549"/>
      <c r="G37" s="481"/>
      <c r="H37" s="329">
        <f t="shared" si="1"/>
        <v>43519</v>
      </c>
      <c r="I37" s="563"/>
      <c r="J37" s="533"/>
      <c r="K37" s="122"/>
      <c r="L37" s="37"/>
      <c r="M37" s="12"/>
      <c r="N37" s="12"/>
      <c r="O37" s="28"/>
      <c r="P37" s="12"/>
      <c r="Q37" s="12"/>
      <c r="R37" s="28"/>
      <c r="S37" s="28"/>
      <c r="T37" s="36"/>
      <c r="U37" s="7"/>
      <c r="V37" s="499" t="e">
        <f>IF(#REF!="綾川町・まんのう町",0,SUM(F2:F9))</f>
        <v>#REF!</v>
      </c>
      <c r="W37" s="504">
        <v>42859</v>
      </c>
      <c r="X37" s="511"/>
      <c r="Y37" s="511"/>
      <c r="Z37" s="511"/>
      <c r="AA37" s="511"/>
      <c r="AB37" s="511"/>
    </row>
    <row r="38" spans="1:28" s="8" customFormat="1" ht="16" customHeight="1" thickBot="1" x14ac:dyDescent="0.35">
      <c r="B38" s="114"/>
      <c r="C38" s="187"/>
      <c r="D38" s="170"/>
      <c r="E38" s="409">
        <f t="shared" si="0"/>
        <v>43489</v>
      </c>
      <c r="F38" s="550"/>
      <c r="G38" s="536"/>
      <c r="H38" s="329">
        <f t="shared" si="1"/>
        <v>43520</v>
      </c>
      <c r="I38" s="563"/>
      <c r="J38" s="533"/>
      <c r="K38" s="122"/>
      <c r="L38" s="37"/>
      <c r="M38" s="12"/>
      <c r="N38" s="12"/>
      <c r="O38" s="28"/>
      <c r="P38" s="12"/>
      <c r="Q38" s="12"/>
      <c r="R38" s="28"/>
      <c r="S38" s="28"/>
      <c r="T38" s="36"/>
      <c r="U38" s="7"/>
      <c r="V38" s="499" t="s">
        <v>163</v>
      </c>
      <c r="W38" s="504">
        <v>42860</v>
      </c>
      <c r="X38" s="511"/>
      <c r="Y38" s="511"/>
      <c r="Z38" s="511"/>
      <c r="AA38" s="511"/>
      <c r="AB38" s="511"/>
    </row>
    <row r="39" spans="1:28" s="8" customFormat="1" ht="16" customHeight="1" thickTop="1" x14ac:dyDescent="0.3">
      <c r="B39" s="114"/>
      <c r="C39" s="187"/>
      <c r="D39" s="170"/>
      <c r="E39" s="407">
        <f t="shared" si="0"/>
        <v>43490</v>
      </c>
      <c r="F39" s="551"/>
      <c r="G39" s="480"/>
      <c r="H39" s="329">
        <f t="shared" si="1"/>
        <v>43521</v>
      </c>
      <c r="I39" s="563"/>
      <c r="J39" s="533"/>
      <c r="K39" s="122"/>
      <c r="L39" s="37"/>
      <c r="M39" s="12"/>
      <c r="N39" s="12"/>
      <c r="O39" s="28"/>
      <c r="P39" s="12"/>
      <c r="Q39" s="12"/>
      <c r="R39" s="28"/>
      <c r="S39" s="28"/>
      <c r="T39" s="36"/>
      <c r="U39" s="7"/>
      <c r="V39" s="516">
        <f>SUM(F10:F16)</f>
        <v>0</v>
      </c>
      <c r="W39" s="504">
        <v>42933</v>
      </c>
      <c r="X39" s="511"/>
      <c r="Y39" s="511"/>
      <c r="Z39" s="511"/>
      <c r="AA39" s="511"/>
      <c r="AB39" s="511"/>
    </row>
    <row r="40" spans="1:28" s="8" customFormat="1" ht="16" customHeight="1" x14ac:dyDescent="0.3">
      <c r="B40" s="114"/>
      <c r="C40" s="187"/>
      <c r="D40" s="170"/>
      <c r="E40" s="179">
        <f t="shared" si="0"/>
        <v>43491</v>
      </c>
      <c r="F40" s="549"/>
      <c r="G40" s="481"/>
      <c r="H40" s="329">
        <f t="shared" si="1"/>
        <v>43522</v>
      </c>
      <c r="I40" s="563"/>
      <c r="J40" s="533"/>
      <c r="K40" s="122"/>
      <c r="L40" s="37"/>
      <c r="M40" s="12"/>
      <c r="N40" s="12"/>
      <c r="O40" s="28"/>
      <c r="P40" s="12"/>
      <c r="Q40" s="12"/>
      <c r="R40" s="28"/>
      <c r="S40" s="28"/>
      <c r="T40" s="36"/>
      <c r="U40" s="7"/>
      <c r="V40" s="517" t="s">
        <v>171</v>
      </c>
      <c r="W40" s="504">
        <v>42958</v>
      </c>
      <c r="X40" s="511"/>
      <c r="Y40" s="511"/>
      <c r="Z40" s="511"/>
      <c r="AA40" s="511"/>
      <c r="AB40" s="511"/>
    </row>
    <row r="41" spans="1:28" s="8" customFormat="1" ht="16" customHeight="1" x14ac:dyDescent="0.3">
      <c r="B41" s="114"/>
      <c r="C41" s="187"/>
      <c r="D41" s="170"/>
      <c r="E41" s="179">
        <f t="shared" si="0"/>
        <v>43492</v>
      </c>
      <c r="F41" s="549"/>
      <c r="G41" s="481"/>
      <c r="H41" s="329">
        <f t="shared" si="1"/>
        <v>43523</v>
      </c>
      <c r="I41" s="563"/>
      <c r="J41" s="533"/>
      <c r="K41" s="122"/>
      <c r="L41" s="37"/>
      <c r="M41" s="12"/>
      <c r="N41" s="12"/>
      <c r="O41" s="28"/>
      <c r="P41" s="12"/>
      <c r="Q41" s="12"/>
      <c r="R41" s="28"/>
      <c r="S41" s="28"/>
      <c r="T41" s="36"/>
      <c r="U41" s="7"/>
      <c r="V41" s="518" t="e">
        <f>V37+V39</f>
        <v>#REF!</v>
      </c>
      <c r="W41" s="504">
        <v>42996</v>
      </c>
      <c r="X41" s="511"/>
      <c r="Y41" s="511"/>
      <c r="Z41" s="511"/>
      <c r="AA41" s="511"/>
      <c r="AB41" s="511"/>
    </row>
    <row r="42" spans="1:28" s="8" customFormat="1" ht="16" customHeight="1" x14ac:dyDescent="0.3">
      <c r="B42" s="114"/>
      <c r="C42" s="187"/>
      <c r="D42" s="170"/>
      <c r="E42" s="179">
        <f t="shared" si="0"/>
        <v>43493</v>
      </c>
      <c r="F42" s="552"/>
      <c r="G42" s="481"/>
      <c r="H42" s="329">
        <f t="shared" si="1"/>
        <v>43524</v>
      </c>
      <c r="I42" s="564"/>
      <c r="J42" s="533"/>
      <c r="K42" s="122"/>
      <c r="L42" s="37"/>
      <c r="M42" s="12"/>
      <c r="N42" s="12"/>
      <c r="O42" s="28"/>
      <c r="P42" s="12"/>
      <c r="Q42" s="12"/>
      <c r="R42" s="28"/>
      <c r="S42" s="28"/>
      <c r="T42" s="36"/>
      <c r="U42" s="7"/>
      <c r="V42" s="517" t="s">
        <v>165</v>
      </c>
      <c r="W42" s="504">
        <v>43001</v>
      </c>
      <c r="X42" s="511"/>
      <c r="Y42" s="511"/>
      <c r="Z42" s="511"/>
      <c r="AA42" s="511"/>
      <c r="AB42" s="511"/>
    </row>
    <row r="43" spans="1:28" s="8" customFormat="1" ht="16" customHeight="1" x14ac:dyDescent="0.3">
      <c r="B43" s="114"/>
      <c r="C43" s="187"/>
      <c r="D43" s="170"/>
      <c r="E43" s="179">
        <f>IF(E42="","",IF(DAY(E42+1)=1,"",E42+1))</f>
        <v>43494</v>
      </c>
      <c r="F43" s="552"/>
      <c r="G43" s="481"/>
      <c r="H43" s="441" t="str">
        <f>IF(H42="","",IF(DAY(H42+1)=1,"",H42+1))</f>
        <v/>
      </c>
      <c r="I43" s="442"/>
      <c r="J43" s="443"/>
      <c r="K43" s="122"/>
      <c r="L43" s="37"/>
      <c r="M43" s="12"/>
      <c r="N43" s="12"/>
      <c r="O43" s="28"/>
      <c r="P43" s="12"/>
      <c r="Q43" s="12"/>
      <c r="R43" s="28"/>
      <c r="S43" s="28"/>
      <c r="T43" s="36"/>
      <c r="U43" s="7"/>
      <c r="V43" s="499" t="e">
        <f>IF(#REF!="直島町",0,1)</f>
        <v>#REF!</v>
      </c>
      <c r="W43" s="504">
        <v>43017</v>
      </c>
      <c r="X43" s="511"/>
      <c r="Y43" s="511"/>
      <c r="Z43" s="511"/>
      <c r="AA43" s="511"/>
      <c r="AB43" s="511"/>
    </row>
    <row r="44" spans="1:28" s="8" customFormat="1" ht="16" customHeight="1" x14ac:dyDescent="0.3">
      <c r="B44" s="114"/>
      <c r="C44" s="251"/>
      <c r="D44" s="170"/>
      <c r="E44" s="217">
        <f t="shared" ref="E44:E45" si="2">IF(E43="","",IF(DAY(E43+1)=1,"",E43+1))</f>
        <v>43495</v>
      </c>
      <c r="F44" s="553"/>
      <c r="G44" s="482"/>
      <c r="H44" s="444" t="str">
        <f t="shared" ref="H44" si="3">IF(H43="","",IF(DAY(H43+1)=1,"",H43+1))</f>
        <v/>
      </c>
      <c r="I44" s="170"/>
      <c r="J44" s="440"/>
      <c r="K44" s="122"/>
      <c r="L44" s="37"/>
      <c r="M44" s="12"/>
      <c r="N44" s="12"/>
      <c r="O44" s="28"/>
      <c r="P44" s="12"/>
      <c r="Q44" s="12"/>
      <c r="R44" s="28"/>
      <c r="S44" s="28"/>
      <c r="T44" s="36"/>
      <c r="U44" s="7"/>
      <c r="V44" s="499" t="e">
        <f>V41*V43</f>
        <v>#REF!</v>
      </c>
      <c r="W44" s="504"/>
      <c r="X44" s="511"/>
      <c r="Y44" s="511"/>
      <c r="Z44" s="511"/>
      <c r="AA44" s="511"/>
      <c r="AB44" s="511"/>
    </row>
    <row r="45" spans="1:28" s="8" customFormat="1" ht="16" customHeight="1" thickBot="1" x14ac:dyDescent="0.35">
      <c r="B45" s="114"/>
      <c r="C45" s="187"/>
      <c r="D45" s="277"/>
      <c r="E45" s="410">
        <f t="shared" si="2"/>
        <v>43496</v>
      </c>
      <c r="F45" s="554"/>
      <c r="G45" s="537"/>
      <c r="H45" s="376"/>
      <c r="I45" s="376"/>
      <c r="J45" s="376"/>
      <c r="K45" s="122"/>
      <c r="L45" s="37"/>
      <c r="M45" s="12"/>
      <c r="N45" s="12"/>
      <c r="O45" s="28"/>
      <c r="P45" s="12"/>
      <c r="Q45" s="12"/>
      <c r="R45" s="28"/>
      <c r="S45" s="28"/>
      <c r="T45" s="36"/>
      <c r="U45" s="7"/>
      <c r="V45" s="522"/>
      <c r="W45" s="504">
        <v>43042</v>
      </c>
      <c r="X45" s="511"/>
      <c r="Y45" s="511"/>
      <c r="Z45" s="511"/>
      <c r="AA45" s="511"/>
      <c r="AB45" s="511"/>
    </row>
    <row r="46" spans="1:28" s="27" customFormat="1" ht="16" customHeight="1" thickTop="1" thickBot="1" x14ac:dyDescent="0.35">
      <c r="B46" s="204"/>
      <c r="C46" s="205"/>
      <c r="D46" s="205"/>
      <c r="E46" s="205"/>
      <c r="F46" s="205"/>
      <c r="G46" s="206"/>
      <c r="H46" s="205"/>
      <c r="I46" s="205"/>
      <c r="J46" s="206"/>
      <c r="K46" s="207"/>
      <c r="L46" s="28"/>
      <c r="M46" s="12"/>
      <c r="N46" s="12"/>
      <c r="O46" s="28"/>
      <c r="P46" s="12"/>
      <c r="Q46" s="12"/>
      <c r="R46" s="28"/>
      <c r="S46" s="28"/>
      <c r="T46" s="36"/>
      <c r="U46" s="29"/>
      <c r="V46" s="517"/>
      <c r="W46" s="502"/>
      <c r="X46" s="503"/>
      <c r="Y46" s="503"/>
      <c r="Z46" s="503"/>
      <c r="AA46" s="503"/>
      <c r="AB46" s="503"/>
    </row>
    <row r="47" spans="1:28" s="27" customFormat="1" ht="14" thickTop="1" x14ac:dyDescent="0.3">
      <c r="A47" s="99"/>
      <c r="B47" s="120"/>
      <c r="C47" s="146" t="s">
        <v>18</v>
      </c>
      <c r="D47" s="12"/>
      <c r="E47" s="12"/>
      <c r="F47" s="12"/>
      <c r="G47" s="28"/>
      <c r="H47" s="12"/>
      <c r="I47" s="12"/>
      <c r="J47" s="28"/>
      <c r="K47" s="121"/>
      <c r="L47" s="28"/>
      <c r="M47" s="28"/>
      <c r="N47" s="146"/>
      <c r="O47" s="12"/>
      <c r="P47" s="12"/>
      <c r="Q47" s="12"/>
      <c r="R47" s="28"/>
      <c r="S47" s="28"/>
      <c r="T47" s="36"/>
      <c r="U47" s="29"/>
      <c r="V47" s="517"/>
      <c r="W47" s="502"/>
      <c r="X47" s="503"/>
      <c r="Y47" s="503"/>
      <c r="Z47" s="503"/>
      <c r="AA47" s="503"/>
      <c r="AB47" s="503"/>
    </row>
    <row r="48" spans="1:28" ht="8.5" customHeight="1" x14ac:dyDescent="0.3">
      <c r="B48" s="156"/>
      <c r="K48" s="157"/>
      <c r="L48" s="1"/>
      <c r="M48" s="11"/>
      <c r="V48" s="499"/>
      <c r="W48" s="504">
        <v>43220</v>
      </c>
      <c r="X48" s="499"/>
      <c r="Y48" s="499"/>
      <c r="Z48" s="499"/>
      <c r="AA48" s="499"/>
      <c r="AB48" s="499"/>
    </row>
    <row r="49" spans="2:28" s="8" customFormat="1" ht="16" customHeight="1" x14ac:dyDescent="0.3">
      <c r="B49" s="114"/>
      <c r="C49" s="12" t="s">
        <v>4</v>
      </c>
      <c r="D49" s="12"/>
      <c r="E49" s="12"/>
      <c r="F49" s="12"/>
      <c r="G49" s="28"/>
      <c r="H49" s="12"/>
      <c r="I49" s="12"/>
      <c r="J49" s="28"/>
      <c r="K49" s="121"/>
      <c r="L49" s="28"/>
      <c r="M49" s="12"/>
      <c r="N49" s="12"/>
      <c r="O49" s="28"/>
      <c r="P49" s="12"/>
      <c r="Q49" s="12"/>
      <c r="R49" s="28"/>
      <c r="S49" s="28"/>
      <c r="T49" s="36"/>
      <c r="U49" s="7"/>
      <c r="V49" s="522"/>
      <c r="W49" s="504"/>
      <c r="X49" s="511"/>
      <c r="Y49" s="511"/>
      <c r="Z49" s="511"/>
      <c r="AA49" s="511"/>
      <c r="AB49" s="511"/>
    </row>
    <row r="50" spans="2:28" ht="16" customHeight="1" x14ac:dyDescent="0.3">
      <c r="B50" s="110"/>
      <c r="C50" s="11" t="s">
        <v>115</v>
      </c>
      <c r="D50" s="11"/>
      <c r="E50" s="11"/>
      <c r="F50" s="11"/>
      <c r="G50" s="25"/>
      <c r="H50" s="11"/>
      <c r="I50" s="11"/>
      <c r="J50" s="25"/>
      <c r="K50" s="118"/>
      <c r="L50" s="25"/>
      <c r="M50" s="74"/>
      <c r="N50" s="74"/>
      <c r="O50" s="75"/>
      <c r="P50" s="76"/>
      <c r="Q50" s="76"/>
      <c r="R50" s="77"/>
      <c r="S50" s="77"/>
      <c r="T50" s="74"/>
      <c r="V50" s="499"/>
      <c r="W50" s="504">
        <v>43092</v>
      </c>
      <c r="X50" s="499"/>
      <c r="Y50" s="499"/>
      <c r="Z50" s="499"/>
      <c r="AA50" s="499"/>
      <c r="AB50" s="499"/>
    </row>
    <row r="51" spans="2:28" s="8" customFormat="1" ht="16" customHeight="1" x14ac:dyDescent="0.3">
      <c r="B51" s="114"/>
      <c r="C51" s="654"/>
      <c r="D51" s="654"/>
      <c r="E51" s="605" t="s">
        <v>100</v>
      </c>
      <c r="F51" s="605"/>
      <c r="G51" s="526">
        <f>SUM(G15:G45)*V20</f>
        <v>0</v>
      </c>
      <c r="H51" s="605" t="s">
        <v>101</v>
      </c>
      <c r="I51" s="605"/>
      <c r="J51" s="526">
        <f>SUM(J15:J42)</f>
        <v>0</v>
      </c>
      <c r="K51" s="119"/>
      <c r="L51" s="28"/>
      <c r="M51" s="619"/>
      <c r="N51" s="619"/>
      <c r="O51" s="58"/>
      <c r="P51" s="619"/>
      <c r="Q51" s="619"/>
      <c r="R51" s="58"/>
      <c r="S51" s="28"/>
      <c r="T51" s="36"/>
      <c r="U51" s="7"/>
      <c r="V51" s="522"/>
      <c r="W51" s="504"/>
      <c r="X51" s="511"/>
      <c r="Y51" s="511"/>
      <c r="Z51" s="511"/>
      <c r="AA51" s="511"/>
      <c r="AB51" s="511"/>
    </row>
    <row r="52" spans="2:28" s="8" customFormat="1" ht="16" customHeight="1" x14ac:dyDescent="0.3">
      <c r="B52" s="114"/>
      <c r="C52" s="595"/>
      <c r="D52" s="595"/>
      <c r="E52" s="574" t="s">
        <v>63</v>
      </c>
      <c r="F52" s="574"/>
      <c r="G52" s="494">
        <f>(31-G53)*V32</f>
        <v>31</v>
      </c>
      <c r="H52" s="574" t="s">
        <v>65</v>
      </c>
      <c r="I52" s="574"/>
      <c r="J52" s="494">
        <f>28-J53</f>
        <v>28</v>
      </c>
      <c r="K52" s="119"/>
      <c r="L52" s="28"/>
      <c r="M52" s="619"/>
      <c r="N52" s="619"/>
      <c r="O52" s="58"/>
      <c r="P52" s="619"/>
      <c r="Q52" s="619"/>
      <c r="R52" s="58"/>
      <c r="S52" s="28"/>
      <c r="T52" s="36"/>
      <c r="U52" s="7"/>
      <c r="V52" s="522"/>
      <c r="W52" s="504"/>
      <c r="X52" s="511"/>
      <c r="Y52" s="511"/>
      <c r="Z52" s="511"/>
      <c r="AA52" s="511"/>
      <c r="AB52" s="511"/>
    </row>
    <row r="53" spans="2:28" s="27" customFormat="1" ht="16" customHeight="1" x14ac:dyDescent="0.3">
      <c r="B53" s="120"/>
      <c r="C53" s="595"/>
      <c r="D53" s="595"/>
      <c r="E53" s="574" t="s">
        <v>64</v>
      </c>
      <c r="F53" s="574"/>
      <c r="G53" s="494">
        <f>COUNTIF(F15:F45,"○")*V32</f>
        <v>0</v>
      </c>
      <c r="H53" s="574" t="s">
        <v>66</v>
      </c>
      <c r="I53" s="574"/>
      <c r="J53" s="494">
        <f>COUNTIF(I15:I42,"○")</f>
        <v>0</v>
      </c>
      <c r="K53" s="121"/>
      <c r="L53" s="28"/>
      <c r="M53" s="12"/>
      <c r="N53" s="12"/>
      <c r="O53" s="28"/>
      <c r="P53" s="12"/>
      <c r="Q53" s="12"/>
      <c r="R53" s="28"/>
      <c r="S53" s="28"/>
      <c r="T53" s="36"/>
      <c r="U53" s="29"/>
      <c r="V53" s="517"/>
      <c r="W53" s="502"/>
      <c r="X53" s="503"/>
      <c r="Y53" s="503"/>
      <c r="Z53" s="503"/>
      <c r="AA53" s="503"/>
      <c r="AB53" s="503"/>
    </row>
    <row r="54" spans="2:28" ht="16" customHeight="1" x14ac:dyDescent="0.3">
      <c r="B54" s="110"/>
      <c r="C54" s="181"/>
      <c r="D54" s="181"/>
      <c r="E54" s="620" t="s">
        <v>103</v>
      </c>
      <c r="F54" s="620"/>
      <c r="G54" s="620"/>
      <c r="H54" s="620"/>
      <c r="I54" s="620"/>
      <c r="J54" s="539">
        <f>G51+J51</f>
        <v>0</v>
      </c>
      <c r="K54" s="122"/>
      <c r="M54" s="647"/>
      <c r="N54" s="647"/>
      <c r="O54" s="647"/>
      <c r="P54" s="647"/>
      <c r="Q54" s="647"/>
      <c r="R54" s="28"/>
      <c r="S54" s="74"/>
      <c r="T54" s="74"/>
      <c r="V54" s="499"/>
      <c r="W54" s="504">
        <v>43142</v>
      </c>
      <c r="X54" s="499"/>
      <c r="Y54" s="499"/>
      <c r="Z54" s="499"/>
      <c r="AA54" s="499"/>
      <c r="AB54" s="499"/>
    </row>
    <row r="55" spans="2:28" ht="16" customHeight="1" x14ac:dyDescent="0.3">
      <c r="B55" s="110"/>
      <c r="C55" s="181"/>
      <c r="D55" s="181"/>
      <c r="E55" s="620" t="s">
        <v>104</v>
      </c>
      <c r="F55" s="620"/>
      <c r="G55" s="620"/>
      <c r="H55" s="620"/>
      <c r="I55" s="620"/>
      <c r="J55" s="539">
        <f>G52+J52</f>
        <v>59</v>
      </c>
      <c r="K55" s="122"/>
      <c r="M55" s="647"/>
      <c r="N55" s="647"/>
      <c r="O55" s="647"/>
      <c r="P55" s="647"/>
      <c r="Q55" s="647"/>
      <c r="R55" s="28"/>
      <c r="S55" s="74"/>
      <c r="T55" s="74"/>
      <c r="V55" s="499"/>
      <c r="W55" s="504">
        <v>43142</v>
      </c>
      <c r="X55" s="499"/>
      <c r="Y55" s="499"/>
      <c r="Z55" s="499"/>
      <c r="AA55" s="499"/>
      <c r="AB55" s="499"/>
    </row>
    <row r="56" spans="2:28" ht="16" customHeight="1" x14ac:dyDescent="0.3">
      <c r="B56" s="110"/>
      <c r="C56" s="181"/>
      <c r="D56" s="181"/>
      <c r="E56" s="620" t="s">
        <v>102</v>
      </c>
      <c r="F56" s="620"/>
      <c r="G56" s="620"/>
      <c r="H56" s="620"/>
      <c r="I56" s="620"/>
      <c r="J56" s="539">
        <f>ROUNDUP(J54/J55,0)</f>
        <v>0</v>
      </c>
      <c r="K56" s="122"/>
      <c r="M56" s="647"/>
      <c r="N56" s="647"/>
      <c r="O56" s="647"/>
      <c r="P56" s="647"/>
      <c r="Q56" s="647"/>
      <c r="R56" s="28"/>
      <c r="S56" s="74"/>
      <c r="T56" s="74"/>
      <c r="V56" s="499"/>
      <c r="W56" s="504">
        <v>43142</v>
      </c>
      <c r="X56" s="499"/>
      <c r="Y56" s="499"/>
      <c r="Z56" s="499"/>
      <c r="AA56" s="499"/>
      <c r="AB56" s="499"/>
    </row>
    <row r="57" spans="2:28" ht="16" customHeight="1" x14ac:dyDescent="0.3">
      <c r="B57" s="110"/>
      <c r="C57" s="181"/>
      <c r="D57" s="181"/>
      <c r="E57" s="648" t="s">
        <v>158</v>
      </c>
      <c r="F57" s="649"/>
      <c r="G57" s="649"/>
      <c r="H57" s="649"/>
      <c r="I57" s="650"/>
      <c r="J57" s="663">
        <v>0.4</v>
      </c>
      <c r="K57" s="122"/>
      <c r="M57" s="414"/>
      <c r="N57" s="414"/>
      <c r="O57" s="414"/>
      <c r="P57" s="414"/>
      <c r="Q57" s="414"/>
      <c r="R57" s="28"/>
      <c r="S57" s="74"/>
      <c r="T57" s="74"/>
      <c r="V57" s="499"/>
      <c r="W57" s="504"/>
      <c r="X57" s="499"/>
      <c r="Y57" s="499"/>
      <c r="Z57" s="499"/>
      <c r="AA57" s="499"/>
      <c r="AB57" s="499"/>
    </row>
    <row r="58" spans="2:28" ht="16" customHeight="1" x14ac:dyDescent="0.3">
      <c r="B58" s="110"/>
      <c r="C58" s="181"/>
      <c r="D58" s="181"/>
      <c r="E58" s="572" t="s">
        <v>91</v>
      </c>
      <c r="F58" s="573"/>
      <c r="G58" s="573"/>
      <c r="H58" s="573"/>
      <c r="I58" s="573"/>
      <c r="J58" s="527">
        <f>ROUNDUP((+J56*J57),-3)</f>
        <v>0</v>
      </c>
      <c r="K58" s="122"/>
      <c r="M58" s="647"/>
      <c r="N58" s="647"/>
      <c r="O58" s="647"/>
      <c r="P58" s="647"/>
      <c r="Q58" s="647"/>
      <c r="R58" s="28"/>
      <c r="S58" s="74"/>
      <c r="T58" s="74"/>
      <c r="V58" s="499"/>
      <c r="W58" s="504"/>
      <c r="X58" s="499"/>
      <c r="Y58" s="499"/>
      <c r="Z58" s="499"/>
      <c r="AA58" s="499"/>
      <c r="AB58" s="499"/>
    </row>
    <row r="59" spans="2:28" ht="16" customHeight="1" thickBot="1" x14ac:dyDescent="0.35">
      <c r="B59" s="175"/>
      <c r="C59" s="39"/>
      <c r="D59" s="39"/>
      <c r="E59" s="39"/>
      <c r="F59" s="39"/>
      <c r="G59" s="40"/>
      <c r="H59" s="39"/>
      <c r="I59" s="39"/>
      <c r="J59" s="40" t="s">
        <v>9</v>
      </c>
      <c r="K59" s="200"/>
      <c r="M59" s="74"/>
      <c r="N59" s="74"/>
      <c r="O59" s="74"/>
      <c r="P59" s="74"/>
      <c r="Q59" s="74"/>
      <c r="R59" s="78"/>
      <c r="S59" s="74"/>
      <c r="T59" s="74"/>
      <c r="V59" s="499"/>
      <c r="W59" s="504">
        <v>43143</v>
      </c>
      <c r="X59" s="499"/>
      <c r="Y59" s="499"/>
      <c r="Z59" s="499"/>
      <c r="AA59" s="499"/>
      <c r="AB59" s="499"/>
    </row>
    <row r="60" spans="2:28" ht="16" customHeight="1" x14ac:dyDescent="0.3">
      <c r="B60" s="110"/>
      <c r="C60" s="160" t="s">
        <v>6</v>
      </c>
      <c r="D60" s="160"/>
      <c r="E60" s="11"/>
      <c r="F60" s="11"/>
      <c r="G60" s="11"/>
      <c r="H60" s="11"/>
      <c r="I60" s="11"/>
      <c r="J60" s="11"/>
      <c r="K60" s="123"/>
      <c r="M60" s="79"/>
      <c r="N60" s="79"/>
      <c r="O60" s="74"/>
      <c r="P60" s="74"/>
      <c r="Q60" s="74"/>
      <c r="R60" s="74"/>
      <c r="S60" s="74"/>
      <c r="T60" s="74"/>
      <c r="V60" s="499"/>
      <c r="W60" s="504"/>
      <c r="X60" s="499"/>
      <c r="Y60" s="499"/>
      <c r="Z60" s="499"/>
      <c r="AA60" s="499"/>
      <c r="AB60" s="499"/>
    </row>
    <row r="61" spans="2:28" ht="28.5" customHeight="1" x14ac:dyDescent="0.3">
      <c r="B61" s="110"/>
      <c r="C61" s="11"/>
      <c r="D61" s="575" t="s">
        <v>134</v>
      </c>
      <c r="E61" s="652"/>
      <c r="F61" s="652"/>
      <c r="G61" s="652"/>
      <c r="H61" s="652"/>
      <c r="I61" s="652"/>
      <c r="J61" s="652"/>
      <c r="K61" s="577"/>
      <c r="L61" s="25"/>
      <c r="M61" s="74"/>
      <c r="N61" s="74"/>
      <c r="O61" s="75"/>
      <c r="P61" s="76"/>
      <c r="Q61" s="76"/>
      <c r="R61" s="77"/>
      <c r="S61" s="77"/>
      <c r="T61" s="74"/>
      <c r="V61" s="499" t="s">
        <v>169</v>
      </c>
      <c r="W61" s="504"/>
      <c r="X61" s="499" t="s">
        <v>170</v>
      </c>
      <c r="Y61" s="499"/>
      <c r="Z61" s="499"/>
      <c r="AA61" s="499"/>
      <c r="AB61" s="499"/>
    </row>
    <row r="62" spans="2:28" s="8" customFormat="1" ht="16" customHeight="1" x14ac:dyDescent="0.3">
      <c r="B62" s="114"/>
      <c r="C62" s="654"/>
      <c r="D62" s="654"/>
      <c r="E62" s="605" t="s">
        <v>100</v>
      </c>
      <c r="F62" s="605"/>
      <c r="G62" s="526">
        <f>V70</f>
        <v>0</v>
      </c>
      <c r="H62" s="605" t="s">
        <v>101</v>
      </c>
      <c r="I62" s="605"/>
      <c r="J62" s="526">
        <f>X67</f>
        <v>0</v>
      </c>
      <c r="K62" s="119"/>
      <c r="L62" s="28"/>
      <c r="M62" s="619"/>
      <c r="N62" s="619"/>
      <c r="O62" s="58"/>
      <c r="P62" s="619"/>
      <c r="Q62" s="619"/>
      <c r="R62" s="58"/>
      <c r="S62" s="28"/>
      <c r="T62" s="36"/>
      <c r="U62" s="7"/>
      <c r="V62" s="499" t="s">
        <v>159</v>
      </c>
      <c r="W62" s="504">
        <v>43092</v>
      </c>
      <c r="X62" s="517" t="s">
        <v>165</v>
      </c>
      <c r="Y62" s="511"/>
      <c r="Z62" s="511"/>
      <c r="AA62" s="511"/>
      <c r="AB62" s="511"/>
    </row>
    <row r="63" spans="2:28" s="8" customFormat="1" ht="16" customHeight="1" x14ac:dyDescent="0.3">
      <c r="B63" s="114"/>
      <c r="C63" s="595"/>
      <c r="D63" s="595"/>
      <c r="E63" s="574" t="s">
        <v>63</v>
      </c>
      <c r="F63" s="574"/>
      <c r="G63" s="494">
        <f>X16-G64</f>
        <v>7</v>
      </c>
      <c r="H63" s="574" t="s">
        <v>105</v>
      </c>
      <c r="I63" s="574"/>
      <c r="J63" s="494">
        <f>X19-J64</f>
        <v>13</v>
      </c>
      <c r="K63" s="119"/>
      <c r="L63" s="28"/>
      <c r="M63" s="619"/>
      <c r="N63" s="619"/>
      <c r="O63" s="58"/>
      <c r="P63" s="619"/>
      <c r="Q63" s="619"/>
      <c r="R63" s="58"/>
      <c r="S63" s="28"/>
      <c r="T63" s="36"/>
      <c r="U63" s="7"/>
      <c r="V63" s="499">
        <f>IF(P13="綾川町・まんのう町",0,SUM(G35:G38))</f>
        <v>0</v>
      </c>
      <c r="W63" s="504"/>
      <c r="X63" s="499">
        <f>IF(P13="直島町",0,J15)</f>
        <v>0</v>
      </c>
      <c r="Y63" s="511"/>
      <c r="Z63" s="511"/>
      <c r="AA63" s="511"/>
      <c r="AB63" s="511"/>
    </row>
    <row r="64" spans="2:28" ht="16" customHeight="1" x14ac:dyDescent="0.3">
      <c r="B64" s="110"/>
      <c r="C64" s="595"/>
      <c r="D64" s="595"/>
      <c r="E64" s="574" t="s">
        <v>64</v>
      </c>
      <c r="F64" s="574"/>
      <c r="G64" s="494">
        <f>V21</f>
        <v>0</v>
      </c>
      <c r="H64" s="574" t="s">
        <v>87</v>
      </c>
      <c r="I64" s="574"/>
      <c r="J64" s="494">
        <f>X29</f>
        <v>0</v>
      </c>
      <c r="K64" s="118"/>
      <c r="L64" s="25"/>
      <c r="M64" s="74"/>
      <c r="N64" s="74"/>
      <c r="O64" s="75"/>
      <c r="P64" s="76"/>
      <c r="Q64" s="76"/>
      <c r="R64" s="77"/>
      <c r="S64" s="77"/>
      <c r="T64" s="74"/>
      <c r="V64" s="499" t="s">
        <v>163</v>
      </c>
      <c r="W64" s="504">
        <v>43062</v>
      </c>
      <c r="X64" s="499" t="s">
        <v>172</v>
      </c>
      <c r="Y64" s="499"/>
      <c r="Z64" s="499"/>
      <c r="AA64" s="499"/>
      <c r="AB64" s="499"/>
    </row>
    <row r="65" spans="2:28" ht="16" customHeight="1" x14ac:dyDescent="0.3">
      <c r="B65" s="110"/>
      <c r="C65" s="181"/>
      <c r="D65" s="181"/>
      <c r="E65" s="569" t="s">
        <v>133</v>
      </c>
      <c r="F65" s="570"/>
      <c r="G65" s="570"/>
      <c r="H65" s="570"/>
      <c r="I65" s="571"/>
      <c r="J65" s="539">
        <f>G62+J62</f>
        <v>0</v>
      </c>
      <c r="K65" s="122"/>
      <c r="M65" s="647"/>
      <c r="N65" s="647"/>
      <c r="O65" s="647"/>
      <c r="P65" s="647"/>
      <c r="Q65" s="647"/>
      <c r="R65" s="28"/>
      <c r="S65" s="74"/>
      <c r="T65" s="74"/>
      <c r="V65" s="516">
        <f>SUM(G39:G45)</f>
        <v>0</v>
      </c>
      <c r="W65" s="504"/>
      <c r="X65" s="516">
        <f>SUM(J16:J27)</f>
        <v>0</v>
      </c>
      <c r="Y65" s="499"/>
      <c r="Z65" s="499"/>
      <c r="AA65" s="499"/>
      <c r="AB65" s="499"/>
    </row>
    <row r="66" spans="2:28" ht="16" customHeight="1" x14ac:dyDescent="0.3">
      <c r="B66" s="110"/>
      <c r="C66" s="181"/>
      <c r="D66" s="181"/>
      <c r="E66" s="620" t="s">
        <v>150</v>
      </c>
      <c r="F66" s="620"/>
      <c r="G66" s="620"/>
      <c r="H66" s="620"/>
      <c r="I66" s="620"/>
      <c r="J66" s="539">
        <f>G63+J63</f>
        <v>20</v>
      </c>
      <c r="K66" s="122"/>
      <c r="M66" s="647"/>
      <c r="N66" s="647"/>
      <c r="O66" s="647"/>
      <c r="P66" s="647"/>
      <c r="Q66" s="647"/>
      <c r="R66" s="28"/>
      <c r="S66" s="74"/>
      <c r="T66" s="74"/>
      <c r="V66" s="517" t="s">
        <v>171</v>
      </c>
      <c r="W66" s="502"/>
      <c r="X66" s="517" t="s">
        <v>171</v>
      </c>
      <c r="Y66" s="499"/>
      <c r="Z66" s="499"/>
      <c r="AA66" s="499"/>
      <c r="AB66" s="499"/>
    </row>
    <row r="67" spans="2:28" ht="16" customHeight="1" x14ac:dyDescent="0.3">
      <c r="B67" s="110"/>
      <c r="C67" s="181"/>
      <c r="D67" s="181"/>
      <c r="E67" s="620" t="s">
        <v>102</v>
      </c>
      <c r="F67" s="620"/>
      <c r="G67" s="620"/>
      <c r="H67" s="620"/>
      <c r="I67" s="620"/>
      <c r="J67" s="539">
        <f>ROUNDUP(J65/J66,0)</f>
        <v>0</v>
      </c>
      <c r="K67" s="122"/>
      <c r="M67" s="647"/>
      <c r="N67" s="647"/>
      <c r="O67" s="647"/>
      <c r="P67" s="647"/>
      <c r="Q67" s="647"/>
      <c r="R67" s="28"/>
      <c r="S67" s="74"/>
      <c r="T67" s="74"/>
      <c r="V67" s="518">
        <f>V63+V65</f>
        <v>0</v>
      </c>
      <c r="W67" s="502"/>
      <c r="X67" s="518">
        <f>X63+X65</f>
        <v>0</v>
      </c>
      <c r="Y67" s="499"/>
      <c r="Z67" s="499"/>
      <c r="AA67" s="499"/>
      <c r="AB67" s="499"/>
    </row>
    <row r="68" spans="2:28" ht="16" customHeight="1" x14ac:dyDescent="0.3">
      <c r="B68" s="110"/>
      <c r="C68" s="181"/>
      <c r="D68" s="181"/>
      <c r="E68" s="648" t="s">
        <v>158</v>
      </c>
      <c r="F68" s="649"/>
      <c r="G68" s="649"/>
      <c r="H68" s="649"/>
      <c r="I68" s="650"/>
      <c r="J68" s="663">
        <v>0.4</v>
      </c>
      <c r="K68" s="122"/>
      <c r="M68" s="414"/>
      <c r="N68" s="414"/>
      <c r="O68" s="414"/>
      <c r="P68" s="414"/>
      <c r="Q68" s="414"/>
      <c r="R68" s="28"/>
      <c r="S68" s="74"/>
      <c r="T68" s="74"/>
      <c r="V68" s="517" t="s">
        <v>165</v>
      </c>
      <c r="W68" s="502"/>
      <c r="X68" s="517"/>
      <c r="Y68" s="499"/>
      <c r="Z68" s="499"/>
      <c r="AA68" s="499"/>
      <c r="AB68" s="499"/>
    </row>
    <row r="69" spans="2:28" ht="16" customHeight="1" x14ac:dyDescent="0.3">
      <c r="B69" s="110"/>
      <c r="C69" s="181"/>
      <c r="D69" s="181"/>
      <c r="E69" s="572" t="s">
        <v>91</v>
      </c>
      <c r="F69" s="573"/>
      <c r="G69" s="573"/>
      <c r="H69" s="573"/>
      <c r="I69" s="573"/>
      <c r="J69" s="527">
        <f>ROUNDUP((+J67*J68),-3)</f>
        <v>0</v>
      </c>
      <c r="K69" s="122"/>
      <c r="M69" s="647"/>
      <c r="N69" s="647"/>
      <c r="O69" s="647"/>
      <c r="P69" s="647"/>
      <c r="Q69" s="647"/>
      <c r="R69" s="28"/>
      <c r="S69" s="74"/>
      <c r="T69" s="74"/>
      <c r="V69" s="499">
        <f>IF(P13="直島町",0,1)</f>
        <v>1</v>
      </c>
      <c r="W69" s="502"/>
      <c r="X69" s="499"/>
      <c r="Y69" s="499"/>
      <c r="Z69" s="499"/>
      <c r="AA69" s="499"/>
      <c r="AB69" s="499"/>
    </row>
    <row r="70" spans="2:28" ht="16" customHeight="1" thickBot="1" x14ac:dyDescent="0.35">
      <c r="B70" s="126"/>
      <c r="C70" s="127"/>
      <c r="D70" s="127"/>
      <c r="E70" s="127"/>
      <c r="F70" s="127"/>
      <c r="G70" s="128"/>
      <c r="H70" s="127"/>
      <c r="I70" s="127"/>
      <c r="J70" s="128" t="s">
        <v>9</v>
      </c>
      <c r="K70" s="129"/>
      <c r="M70" s="74"/>
      <c r="N70" s="74"/>
      <c r="O70" s="74"/>
      <c r="P70" s="74"/>
      <c r="Q70" s="74"/>
      <c r="R70" s="78"/>
      <c r="S70" s="74"/>
      <c r="T70" s="74"/>
      <c r="V70" s="499">
        <f>V67*V69</f>
        <v>0</v>
      </c>
      <c r="W70" s="504">
        <v>43108</v>
      </c>
      <c r="X70" s="499"/>
      <c r="Y70" s="499"/>
      <c r="Z70" s="499"/>
      <c r="AA70" s="499"/>
      <c r="AB70" s="499"/>
    </row>
    <row r="71" spans="2:28" x14ac:dyDescent="0.3">
      <c r="M71" s="74"/>
      <c r="N71" s="74"/>
      <c r="O71" s="74"/>
      <c r="P71" s="74"/>
      <c r="Q71" s="74"/>
      <c r="R71" s="74"/>
      <c r="S71" s="74"/>
      <c r="T71" s="74"/>
      <c r="V71" s="499"/>
      <c r="W71" s="504">
        <v>43220</v>
      </c>
      <c r="X71" s="499"/>
      <c r="Y71" s="499"/>
      <c r="Z71" s="499"/>
      <c r="AA71" s="499"/>
      <c r="AB71" s="499"/>
    </row>
    <row r="72" spans="2:28" x14ac:dyDescent="0.3">
      <c r="V72" s="499"/>
      <c r="W72" s="504">
        <v>43223</v>
      </c>
      <c r="X72" s="499"/>
      <c r="Y72" s="499"/>
      <c r="Z72" s="499"/>
      <c r="AA72" s="499"/>
      <c r="AB72" s="499"/>
    </row>
    <row r="73" spans="2:28" x14ac:dyDescent="0.3">
      <c r="V73" s="499"/>
      <c r="W73" s="504">
        <v>43224</v>
      </c>
      <c r="X73" s="499"/>
      <c r="Y73" s="499"/>
      <c r="Z73" s="499"/>
      <c r="AA73" s="499"/>
      <c r="AB73" s="499"/>
    </row>
    <row r="74" spans="2:28" x14ac:dyDescent="0.3">
      <c r="W74" s="17">
        <v>43225</v>
      </c>
    </row>
    <row r="75" spans="2:28" x14ac:dyDescent="0.3">
      <c r="W75" s="17">
        <v>43297</v>
      </c>
    </row>
    <row r="76" spans="2:28" x14ac:dyDescent="0.3">
      <c r="W76" s="17">
        <v>43323</v>
      </c>
    </row>
    <row r="77" spans="2:28" x14ac:dyDescent="0.3">
      <c r="W77" s="17">
        <v>43360</v>
      </c>
    </row>
    <row r="78" spans="2:28" x14ac:dyDescent="0.3">
      <c r="W78" s="17">
        <v>43366</v>
      </c>
    </row>
    <row r="79" spans="2:28" x14ac:dyDescent="0.3">
      <c r="W79" s="17">
        <v>43367</v>
      </c>
    </row>
    <row r="80" spans="2:28" x14ac:dyDescent="0.3">
      <c r="W80" s="17">
        <v>43381</v>
      </c>
    </row>
    <row r="81" spans="23:23" x14ac:dyDescent="0.3">
      <c r="W81" s="17">
        <v>43407</v>
      </c>
    </row>
    <row r="82" spans="23:23" x14ac:dyDescent="0.3">
      <c r="W82" s="17">
        <v>43427</v>
      </c>
    </row>
    <row r="83" spans="23:23" x14ac:dyDescent="0.3">
      <c r="W83" s="17">
        <v>43457</v>
      </c>
    </row>
    <row r="84" spans="23:23" x14ac:dyDescent="0.3">
      <c r="W84" s="17">
        <v>43458</v>
      </c>
    </row>
    <row r="85" spans="23:23" x14ac:dyDescent="0.3">
      <c r="W85" s="18">
        <v>43466</v>
      </c>
    </row>
    <row r="86" spans="23:23" x14ac:dyDescent="0.3">
      <c r="W86" s="18">
        <v>43479</v>
      </c>
    </row>
    <row r="87" spans="23:23" x14ac:dyDescent="0.3">
      <c r="W87" s="18">
        <v>43507</v>
      </c>
    </row>
    <row r="88" spans="23:23" x14ac:dyDescent="0.3">
      <c r="W88" s="18">
        <v>43545</v>
      </c>
    </row>
    <row r="89" spans="23:23" x14ac:dyDescent="0.3">
      <c r="W89" s="18">
        <v>43584</v>
      </c>
    </row>
    <row r="90" spans="23:23" x14ac:dyDescent="0.3">
      <c r="W90" s="18">
        <v>43588</v>
      </c>
    </row>
    <row r="91" spans="23:23" x14ac:dyDescent="0.3">
      <c r="W91" s="18">
        <v>43589</v>
      </c>
    </row>
    <row r="92" spans="23:23" x14ac:dyDescent="0.3">
      <c r="W92" s="18">
        <v>43590</v>
      </c>
    </row>
    <row r="93" spans="23:23" x14ac:dyDescent="0.3">
      <c r="W93" s="18">
        <v>43591</v>
      </c>
    </row>
    <row r="94" spans="23:23" x14ac:dyDescent="0.3">
      <c r="W94" s="18">
        <v>43661</v>
      </c>
    </row>
    <row r="95" spans="23:23" x14ac:dyDescent="0.3">
      <c r="W95" s="18">
        <v>43688</v>
      </c>
    </row>
    <row r="96" spans="23:23" x14ac:dyDescent="0.3">
      <c r="W96" s="18">
        <v>43689</v>
      </c>
    </row>
    <row r="97" spans="23:23" x14ac:dyDescent="0.3">
      <c r="W97" s="18">
        <v>43724</v>
      </c>
    </row>
    <row r="98" spans="23:23" x14ac:dyDescent="0.3">
      <c r="W98" s="18">
        <v>43731</v>
      </c>
    </row>
    <row r="99" spans="23:23" x14ac:dyDescent="0.3">
      <c r="W99" s="18">
        <v>43752</v>
      </c>
    </row>
    <row r="100" spans="23:23" x14ac:dyDescent="0.3">
      <c r="W100" s="18">
        <v>43772</v>
      </c>
    </row>
    <row r="101" spans="23:23" x14ac:dyDescent="0.3">
      <c r="W101" s="18">
        <v>43773</v>
      </c>
    </row>
    <row r="102" spans="23:23" x14ac:dyDescent="0.3">
      <c r="W102" s="18">
        <v>43792</v>
      </c>
    </row>
    <row r="103" spans="23:23" x14ac:dyDescent="0.3">
      <c r="W103" s="18">
        <v>43822</v>
      </c>
    </row>
    <row r="104" spans="23:23" x14ac:dyDescent="0.3">
      <c r="W104" s="18">
        <v>43831</v>
      </c>
    </row>
    <row r="105" spans="23:23" x14ac:dyDescent="0.3">
      <c r="W105" s="18">
        <v>43843</v>
      </c>
    </row>
    <row r="106" spans="23:23" x14ac:dyDescent="0.3">
      <c r="W106" s="18">
        <v>43872</v>
      </c>
    </row>
    <row r="107" spans="23:23" x14ac:dyDescent="0.3">
      <c r="W107" s="18">
        <v>43885</v>
      </c>
    </row>
    <row r="108" spans="23:23" x14ac:dyDescent="0.3">
      <c r="W108" s="18">
        <v>43910</v>
      </c>
    </row>
    <row r="109" spans="23:23" x14ac:dyDescent="0.3">
      <c r="W109" s="18">
        <v>43950</v>
      </c>
    </row>
    <row r="110" spans="23:23" x14ac:dyDescent="0.3">
      <c r="W110" s="18">
        <v>43954</v>
      </c>
    </row>
    <row r="111" spans="23:23" x14ac:dyDescent="0.3">
      <c r="W111" s="18">
        <v>43955</v>
      </c>
    </row>
    <row r="112" spans="23:23" x14ac:dyDescent="0.3">
      <c r="W112" s="18">
        <v>43956</v>
      </c>
    </row>
    <row r="113" spans="23:23" x14ac:dyDescent="0.3">
      <c r="W113" s="18">
        <v>43957</v>
      </c>
    </row>
    <row r="114" spans="23:23" x14ac:dyDescent="0.3">
      <c r="W114" s="18">
        <v>44035</v>
      </c>
    </row>
    <row r="115" spans="23:23" x14ac:dyDescent="0.3">
      <c r="W115" s="18">
        <v>44036</v>
      </c>
    </row>
    <row r="116" spans="23:23" x14ac:dyDescent="0.3">
      <c r="W116" s="18">
        <v>44053</v>
      </c>
    </row>
    <row r="117" spans="23:23" x14ac:dyDescent="0.3">
      <c r="W117" s="18">
        <v>44095</v>
      </c>
    </row>
    <row r="118" spans="23:23" x14ac:dyDescent="0.3">
      <c r="W118" s="18">
        <v>44096</v>
      </c>
    </row>
    <row r="119" spans="23:23" x14ac:dyDescent="0.3">
      <c r="W119" s="18">
        <v>44138</v>
      </c>
    </row>
    <row r="120" spans="23:23" x14ac:dyDescent="0.3">
      <c r="W120" s="18">
        <v>44158</v>
      </c>
    </row>
    <row r="121" spans="23:23" x14ac:dyDescent="0.3">
      <c r="W121" s="18">
        <v>44197</v>
      </c>
    </row>
    <row r="122" spans="23:23" x14ac:dyDescent="0.3">
      <c r="W122" s="18">
        <v>44207</v>
      </c>
    </row>
    <row r="123" spans="23:23" x14ac:dyDescent="0.3">
      <c r="W123" s="18">
        <v>44238</v>
      </c>
    </row>
    <row r="124" spans="23:23" x14ac:dyDescent="0.3">
      <c r="W124" s="18">
        <v>44250</v>
      </c>
    </row>
    <row r="125" spans="23:23" x14ac:dyDescent="0.3">
      <c r="W125" s="18">
        <v>44275</v>
      </c>
    </row>
    <row r="126" spans="23:23" x14ac:dyDescent="0.3">
      <c r="W126" s="18">
        <v>44315</v>
      </c>
    </row>
    <row r="127" spans="23:23" x14ac:dyDescent="0.3">
      <c r="W127" s="18">
        <v>44319</v>
      </c>
    </row>
    <row r="128" spans="23:23" x14ac:dyDescent="0.3">
      <c r="W128" s="18">
        <v>44320</v>
      </c>
    </row>
    <row r="129" spans="23:23" x14ac:dyDescent="0.3">
      <c r="W129" s="18">
        <v>44321</v>
      </c>
    </row>
    <row r="130" spans="23:23" x14ac:dyDescent="0.3">
      <c r="W130" s="18">
        <v>44396</v>
      </c>
    </row>
    <row r="131" spans="23:23" x14ac:dyDescent="0.3">
      <c r="W131" s="18">
        <v>44419</v>
      </c>
    </row>
    <row r="132" spans="23:23" x14ac:dyDescent="0.3">
      <c r="W132" s="18">
        <v>44459</v>
      </c>
    </row>
    <row r="133" spans="23:23" x14ac:dyDescent="0.3">
      <c r="W133" s="18">
        <v>44462</v>
      </c>
    </row>
    <row r="134" spans="23:23" x14ac:dyDescent="0.3">
      <c r="W134" s="18">
        <v>44480</v>
      </c>
    </row>
    <row r="135" spans="23:23" x14ac:dyDescent="0.3">
      <c r="W135" s="18">
        <v>44503</v>
      </c>
    </row>
    <row r="136" spans="23:23" x14ac:dyDescent="0.3">
      <c r="W136" s="18">
        <v>44523</v>
      </c>
    </row>
    <row r="137" spans="23:23" x14ac:dyDescent="0.3">
      <c r="W137" s="18">
        <v>44562</v>
      </c>
    </row>
    <row r="138" spans="23:23" x14ac:dyDescent="0.3">
      <c r="W138" s="18">
        <v>44571</v>
      </c>
    </row>
    <row r="139" spans="23:23" x14ac:dyDescent="0.3">
      <c r="W139" s="18">
        <v>44603</v>
      </c>
    </row>
    <row r="140" spans="23:23" x14ac:dyDescent="0.3">
      <c r="W140" s="18">
        <v>44615</v>
      </c>
    </row>
    <row r="141" spans="23:23" x14ac:dyDescent="0.3">
      <c r="W141" s="18">
        <v>44641</v>
      </c>
    </row>
    <row r="142" spans="23:23" x14ac:dyDescent="0.3">
      <c r="W142" s="18">
        <v>44680</v>
      </c>
    </row>
    <row r="143" spans="23:23" x14ac:dyDescent="0.3">
      <c r="W143" s="18">
        <v>44684</v>
      </c>
    </row>
    <row r="144" spans="23:23" x14ac:dyDescent="0.3">
      <c r="W144" s="18">
        <v>44685</v>
      </c>
    </row>
    <row r="145" spans="23:23" x14ac:dyDescent="0.3">
      <c r="W145" s="18">
        <v>44686</v>
      </c>
    </row>
    <row r="146" spans="23:23" x14ac:dyDescent="0.3">
      <c r="W146" s="18">
        <v>44760</v>
      </c>
    </row>
    <row r="147" spans="23:23" x14ac:dyDescent="0.3">
      <c r="W147" s="18">
        <v>44784</v>
      </c>
    </row>
    <row r="148" spans="23:23" x14ac:dyDescent="0.3">
      <c r="W148" s="18">
        <v>44823</v>
      </c>
    </row>
    <row r="149" spans="23:23" x14ac:dyDescent="0.3">
      <c r="W149" s="18">
        <v>44827</v>
      </c>
    </row>
    <row r="150" spans="23:23" x14ac:dyDescent="0.3">
      <c r="W150" s="18">
        <v>44844</v>
      </c>
    </row>
    <row r="151" spans="23:23" x14ac:dyDescent="0.3">
      <c r="W151" s="18">
        <v>44868</v>
      </c>
    </row>
    <row r="152" spans="23:23" x14ac:dyDescent="0.3">
      <c r="W152" s="18">
        <v>44888</v>
      </c>
    </row>
    <row r="153" spans="23:23" x14ac:dyDescent="0.3">
      <c r="W153" s="18"/>
    </row>
  </sheetData>
  <sheetProtection algorithmName="SHA-512" hashValue="Mx5E+SCkTfNf3SO93f0kvSBhV1Y4AhEi9FOd/Hx5VBM+WLkyt1wdJSmyDPZLtNwvK9W++GDH+PvnjfibKKyOgw==" saltValue="YLsiJwPfvcOviL/GV0/5UQ==" spinCount="100000" sheet="1" objects="1" scenarios="1"/>
  <mergeCells count="52">
    <mergeCell ref="P13:R13"/>
    <mergeCell ref="C13:D13"/>
    <mergeCell ref="E13:G13"/>
    <mergeCell ref="M13:O13"/>
    <mergeCell ref="H13:J13"/>
    <mergeCell ref="M56:Q56"/>
    <mergeCell ref="M55:Q55"/>
    <mergeCell ref="C51:D51"/>
    <mergeCell ref="E51:F51"/>
    <mergeCell ref="M51:N51"/>
    <mergeCell ref="P51:Q51"/>
    <mergeCell ref="C52:D52"/>
    <mergeCell ref="E52:F52"/>
    <mergeCell ref="M52:N52"/>
    <mergeCell ref="P52:Q52"/>
    <mergeCell ref="H51:I51"/>
    <mergeCell ref="H52:I52"/>
    <mergeCell ref="A1:T1"/>
    <mergeCell ref="M67:Q67"/>
    <mergeCell ref="M69:Q69"/>
    <mergeCell ref="C64:D64"/>
    <mergeCell ref="E64:F64"/>
    <mergeCell ref="C62:D62"/>
    <mergeCell ref="E62:F62"/>
    <mergeCell ref="M62:N62"/>
    <mergeCell ref="P62:Q62"/>
    <mergeCell ref="C63:D63"/>
    <mergeCell ref="E63:F63"/>
    <mergeCell ref="M63:N63"/>
    <mergeCell ref="P63:Q63"/>
    <mergeCell ref="M54:Q54"/>
    <mergeCell ref="M58:Q58"/>
    <mergeCell ref="C53:D53"/>
    <mergeCell ref="H62:I62"/>
    <mergeCell ref="H63:I63"/>
    <mergeCell ref="H64:I64"/>
    <mergeCell ref="C11:H11"/>
    <mergeCell ref="E54:I54"/>
    <mergeCell ref="E58:I58"/>
    <mergeCell ref="E56:I56"/>
    <mergeCell ref="E55:I55"/>
    <mergeCell ref="E53:F53"/>
    <mergeCell ref="H53:I53"/>
    <mergeCell ref="D61:K61"/>
    <mergeCell ref="E57:I57"/>
    <mergeCell ref="E69:I69"/>
    <mergeCell ref="M66:Q66"/>
    <mergeCell ref="M65:Q65"/>
    <mergeCell ref="E65:I65"/>
    <mergeCell ref="E66:I66"/>
    <mergeCell ref="E67:I67"/>
    <mergeCell ref="E68:I68"/>
  </mergeCells>
  <phoneticPr fontId="1"/>
  <conditionalFormatting sqref="E15:E45">
    <cfRule type="expression" dxfId="39" priority="5">
      <formula>TEXT(E15,"aaa")="土"</formula>
    </cfRule>
  </conditionalFormatting>
  <conditionalFormatting sqref="E15:E45">
    <cfRule type="expression" dxfId="38" priority="4">
      <formula>TEXT(E15,"aaa")="日"</formula>
    </cfRule>
  </conditionalFormatting>
  <conditionalFormatting sqref="E15:E45">
    <cfRule type="expression" dxfId="37" priority="6">
      <formula>COUNTIF($W$15:$W$137,#REF!)</formula>
    </cfRule>
  </conditionalFormatting>
  <conditionalFormatting sqref="H15:H44">
    <cfRule type="expression" dxfId="36" priority="2">
      <formula>TEXT(H15,"aaa")="土"</formula>
    </cfRule>
  </conditionalFormatting>
  <conditionalFormatting sqref="H15:H44">
    <cfRule type="expression" dxfId="35" priority="1">
      <formula>TEXT(H15,"aaa")="日"</formula>
    </cfRule>
  </conditionalFormatting>
  <conditionalFormatting sqref="H15:H44">
    <cfRule type="expression" dxfId="34" priority="3">
      <formula>COUNTIF($W$15:$W$137,#REF!)</formula>
    </cfRule>
  </conditionalFormatting>
  <dataValidations count="3">
    <dataValidation type="list" allowBlank="1" showInputMessage="1" showErrorMessage="1" sqref="F15:F45 D15:D44 I15:I42">
      <formula1>"○"</formula1>
    </dataValidation>
    <dataValidation type="list" allowBlank="1" showInputMessage="1" showErrorMessage="1" sqref="P13:Q13">
      <formula1>"綾川町・まんのう町・直島町　以外,綾川町・まんのう町,直島町"</formula1>
    </dataValidation>
    <dataValidation type="list" allowBlank="1" showInputMessage="1" showErrorMessage="1" sqref="J57 J68">
      <formula1>"0.4,0.3"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7" orientation="portrait" r:id="rId1"/>
  <colBreaks count="1" manualBreakCount="1">
    <brk id="2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3" r:id="rId4" name="Check Box 9">
              <controlPr defaultSize="0" autoFill="0" autoLine="0" autoPict="0">
                <anchor moveWithCells="1">
                  <from>
                    <xdr:col>6</xdr:col>
                    <xdr:colOff>635000</xdr:colOff>
                    <xdr:row>8</xdr:row>
                    <xdr:rowOff>44450</xdr:rowOff>
                  </from>
                  <to>
                    <xdr:col>6</xdr:col>
                    <xdr:colOff>806450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12</xdr:col>
                    <xdr:colOff>95250</xdr:colOff>
                    <xdr:row>8</xdr:row>
                    <xdr:rowOff>44450</xdr:rowOff>
                  </from>
                  <to>
                    <xdr:col>12</xdr:col>
                    <xdr:colOff>266700</xdr:colOff>
                    <xdr:row>8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66FFFF"/>
    <pageSetUpPr fitToPage="1"/>
  </sheetPr>
  <dimension ref="A1:AF147"/>
  <sheetViews>
    <sheetView showGridLines="0" view="pageBreakPreview" zoomScale="66" zoomScaleNormal="75" zoomScaleSheetLayoutView="66" workbookViewId="0">
      <selection activeCell="T4" sqref="T4"/>
    </sheetView>
  </sheetViews>
  <sheetFormatPr defaultColWidth="9" defaultRowHeight="13.5" x14ac:dyDescent="0.3"/>
  <cols>
    <col min="1" max="1" width="1.58203125" style="1" customWidth="1"/>
    <col min="2" max="2" width="1.33203125" style="1" customWidth="1"/>
    <col min="3" max="3" width="2.75" style="1" customWidth="1"/>
    <col min="4" max="4" width="2.08203125" style="1" customWidth="1"/>
    <col min="5" max="5" width="9.58203125" style="1" customWidth="1"/>
    <col min="6" max="6" width="5.33203125" style="1" customWidth="1"/>
    <col min="7" max="7" width="12.08203125" style="1" customWidth="1"/>
    <col min="8" max="8" width="9.58203125" style="1" customWidth="1"/>
    <col min="9" max="9" width="5.33203125" style="1" customWidth="1"/>
    <col min="10" max="10" width="12.08203125" style="1" customWidth="1"/>
    <col min="11" max="11" width="5.33203125" style="1" customWidth="1"/>
    <col min="12" max="12" width="1.33203125" style="1" customWidth="1"/>
    <col min="13" max="13" width="2" style="11" customWidth="1"/>
    <col min="14" max="14" width="4.33203125" style="1" customWidth="1"/>
    <col min="15" max="15" width="2.08203125" style="1" customWidth="1"/>
    <col min="16" max="16" width="9.58203125" style="1" customWidth="1"/>
    <col min="17" max="17" width="5.33203125" style="1" customWidth="1"/>
    <col min="18" max="18" width="11.58203125" style="1" customWidth="1"/>
    <col min="19" max="19" width="9.58203125" style="1" customWidth="1"/>
    <col min="20" max="20" width="5.33203125" style="1" customWidth="1"/>
    <col min="21" max="21" width="11.58203125" style="1" customWidth="1"/>
    <col min="22" max="22" width="3" style="11" customWidth="1"/>
    <col min="23" max="23" width="1.83203125" style="11" customWidth="1"/>
    <col min="24" max="24" width="0.75" style="1" customWidth="1"/>
    <col min="25" max="25" width="11.75" style="1" customWidth="1"/>
    <col min="26" max="26" width="0.58203125" style="16" customWidth="1"/>
    <col min="27" max="16384" width="9" style="1"/>
  </cols>
  <sheetData>
    <row r="1" spans="1:32" ht="22" x14ac:dyDescent="0.3">
      <c r="A1" s="588" t="s">
        <v>106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Y1" s="499"/>
      <c r="Z1" s="500"/>
      <c r="AA1" s="499"/>
      <c r="AB1" s="499"/>
      <c r="AC1" s="499"/>
      <c r="AD1" s="499"/>
      <c r="AE1" s="499"/>
      <c r="AF1" s="499"/>
    </row>
    <row r="2" spans="1:32" ht="27" customHeight="1" x14ac:dyDescent="0.3">
      <c r="C2" s="81" t="s">
        <v>20</v>
      </c>
      <c r="D2" s="6"/>
      <c r="E2" s="82"/>
      <c r="F2" s="6"/>
      <c r="H2" s="82"/>
      <c r="I2" s="6"/>
      <c r="M2" s="1"/>
      <c r="N2" s="82" t="s">
        <v>59</v>
      </c>
      <c r="V2" s="1"/>
      <c r="W2" s="1"/>
      <c r="X2" s="11"/>
      <c r="Y2" s="501" t="s">
        <v>161</v>
      </c>
      <c r="Z2" s="499"/>
      <c r="AA2" s="499" t="s">
        <v>162</v>
      </c>
      <c r="AB2" s="500"/>
      <c r="AC2" s="499"/>
      <c r="AD2" s="499"/>
      <c r="AE2" s="499"/>
      <c r="AF2" s="499"/>
    </row>
    <row r="3" spans="1:32" ht="26.5" customHeight="1" thickBot="1" x14ac:dyDescent="0.35">
      <c r="C3" s="24" t="s">
        <v>2</v>
      </c>
      <c r="D3" s="24"/>
      <c r="N3" s="101" t="s">
        <v>1</v>
      </c>
      <c r="O3" s="101"/>
      <c r="P3" s="102"/>
      <c r="Q3" s="102"/>
      <c r="R3" s="102"/>
      <c r="S3" s="102"/>
      <c r="T3" s="660"/>
      <c r="U3" s="661"/>
      <c r="V3" s="661"/>
      <c r="W3" s="662"/>
      <c r="X3" s="11"/>
      <c r="Y3" s="499">
        <f>IF(T3="直島町",0,31)</f>
        <v>31</v>
      </c>
      <c r="Z3" s="500"/>
      <c r="AA3" s="499"/>
      <c r="AB3" s="499"/>
      <c r="AC3" s="499"/>
      <c r="AD3" s="499"/>
      <c r="AE3" s="499"/>
      <c r="AF3" s="499"/>
    </row>
    <row r="4" spans="1:32" ht="9" customHeight="1" thickTop="1" thickBot="1" x14ac:dyDescent="0.35">
      <c r="C4" s="24"/>
      <c r="D4" s="24"/>
      <c r="N4" s="9"/>
      <c r="O4" s="9"/>
      <c r="P4" s="11"/>
      <c r="Q4" s="11"/>
      <c r="R4" s="11"/>
      <c r="S4" s="11"/>
      <c r="T4" s="11"/>
      <c r="U4" s="11"/>
      <c r="Y4" s="499"/>
      <c r="Z4" s="500"/>
      <c r="AA4" s="499"/>
      <c r="AB4" s="499"/>
      <c r="AC4" s="499"/>
      <c r="AD4" s="499"/>
      <c r="AE4" s="499"/>
      <c r="AF4" s="499"/>
    </row>
    <row r="5" spans="1:32" ht="25" customHeight="1" thickBot="1" x14ac:dyDescent="0.35">
      <c r="A5" s="11"/>
      <c r="B5" s="107"/>
      <c r="C5" s="601" t="s">
        <v>108</v>
      </c>
      <c r="D5" s="601"/>
      <c r="E5" s="601"/>
      <c r="F5" s="601"/>
      <c r="G5" s="601"/>
      <c r="H5" s="286"/>
      <c r="I5" s="286"/>
      <c r="J5" s="286"/>
      <c r="K5" s="109"/>
      <c r="L5" s="10"/>
      <c r="M5" s="97"/>
      <c r="N5" s="388"/>
      <c r="O5" s="388"/>
      <c r="P5" s="388"/>
      <c r="Q5" s="388"/>
      <c r="R5" s="96"/>
      <c r="S5" s="388"/>
      <c r="T5" s="388"/>
      <c r="U5" s="96"/>
      <c r="V5" s="96"/>
      <c r="W5" s="10"/>
      <c r="X5" s="2"/>
      <c r="Y5" s="499" t="s">
        <v>177</v>
      </c>
      <c r="Z5" s="500"/>
      <c r="AA5" s="499">
        <f>IF(T3="綾川町・まんのう町・直島町　以外",4,0)</f>
        <v>0</v>
      </c>
      <c r="AB5" s="499" t="s">
        <v>164</v>
      </c>
      <c r="AC5" s="499"/>
      <c r="AD5" s="499"/>
      <c r="AE5" s="499"/>
      <c r="AF5" s="499"/>
    </row>
    <row r="6" spans="1:32" s="27" customFormat="1" ht="20.149999999999999" customHeight="1" x14ac:dyDescent="0.3">
      <c r="A6" s="99"/>
      <c r="B6" s="116"/>
      <c r="C6" s="147" t="s">
        <v>19</v>
      </c>
      <c r="D6" s="104"/>
      <c r="E6" s="104"/>
      <c r="F6" s="104"/>
      <c r="G6" s="105"/>
      <c r="H6" s="104"/>
      <c r="I6" s="104"/>
      <c r="J6" s="105"/>
      <c r="K6" s="117"/>
      <c r="L6" s="28"/>
      <c r="M6" s="28"/>
      <c r="N6" s="142"/>
      <c r="O6" s="12"/>
      <c r="P6" s="12"/>
      <c r="Q6" s="12"/>
      <c r="R6" s="28"/>
      <c r="S6" s="12"/>
      <c r="T6" s="12"/>
      <c r="U6" s="28"/>
      <c r="V6" s="28"/>
      <c r="W6" s="36"/>
      <c r="X6" s="29"/>
      <c r="Y6" s="499"/>
      <c r="Z6" s="500"/>
      <c r="AA6" s="499"/>
      <c r="AB6" s="499"/>
      <c r="AC6" s="503"/>
      <c r="AD6" s="503"/>
      <c r="AE6" s="503"/>
      <c r="AF6" s="503"/>
    </row>
    <row r="7" spans="1:32" ht="6" customHeight="1" x14ac:dyDescent="0.3">
      <c r="B7" s="110"/>
      <c r="C7" s="11"/>
      <c r="D7" s="11"/>
      <c r="E7" s="11"/>
      <c r="F7" s="11"/>
      <c r="G7" s="59"/>
      <c r="H7" s="11"/>
      <c r="I7" s="11"/>
      <c r="J7" s="59"/>
      <c r="K7" s="140"/>
      <c r="L7" s="59"/>
      <c r="M7" s="74"/>
      <c r="N7" s="659"/>
      <c r="O7" s="659"/>
      <c r="P7" s="659"/>
      <c r="Q7" s="659"/>
      <c r="R7" s="659"/>
      <c r="S7" s="659"/>
      <c r="T7" s="659"/>
      <c r="U7" s="659"/>
      <c r="V7" s="74"/>
      <c r="Y7" s="499" t="s">
        <v>164</v>
      </c>
      <c r="Z7" s="500"/>
      <c r="AA7" s="499">
        <v>7</v>
      </c>
      <c r="AB7" s="499" t="s">
        <v>163</v>
      </c>
      <c r="AC7" s="499"/>
      <c r="AD7" s="499"/>
      <c r="AE7" s="499"/>
      <c r="AF7" s="499"/>
    </row>
    <row r="8" spans="1:32" s="6" customFormat="1" ht="20.149999999999999" customHeight="1" x14ac:dyDescent="0.3">
      <c r="B8" s="111"/>
      <c r="C8" s="597"/>
      <c r="D8" s="597"/>
      <c r="E8" s="598">
        <f>DATE(2019,1,1)</f>
        <v>43466</v>
      </c>
      <c r="F8" s="599"/>
      <c r="G8" s="600"/>
      <c r="H8" s="598">
        <f>DATE(2019,2,1)</f>
        <v>43497</v>
      </c>
      <c r="I8" s="599"/>
      <c r="J8" s="600"/>
      <c r="K8" s="158"/>
      <c r="L8" s="376"/>
      <c r="M8" s="379"/>
      <c r="N8" s="659"/>
      <c r="O8" s="659"/>
      <c r="P8" s="659"/>
      <c r="Q8" s="659"/>
      <c r="R8" s="659"/>
      <c r="S8" s="659"/>
      <c r="T8" s="659"/>
      <c r="U8" s="659"/>
      <c r="V8" s="379"/>
      <c r="W8" s="33"/>
      <c r="X8" s="5"/>
      <c r="Y8" s="499">
        <f>IF(T3="綾川町・まんのう町・直島町　以外",COUNTIF(F30:F33,"○"),0)</f>
        <v>0</v>
      </c>
      <c r="Z8" s="502"/>
      <c r="AA8" s="503">
        <f>AA5+AA7</f>
        <v>7</v>
      </c>
      <c r="AB8" s="503"/>
      <c r="AC8" s="506"/>
      <c r="AD8" s="506"/>
      <c r="AE8" s="506"/>
      <c r="AF8" s="506"/>
    </row>
    <row r="9" spans="1:32" s="19" customFormat="1" ht="20.149999999999999" customHeight="1" thickBot="1" x14ac:dyDescent="0.35">
      <c r="B9" s="112"/>
      <c r="C9" s="172"/>
      <c r="D9" s="376"/>
      <c r="E9" s="165" t="s">
        <v>10</v>
      </c>
      <c r="F9" s="31" t="s">
        <v>13</v>
      </c>
      <c r="G9" s="31" t="s">
        <v>0</v>
      </c>
      <c r="H9" s="165" t="s">
        <v>10</v>
      </c>
      <c r="I9" s="31" t="s">
        <v>13</v>
      </c>
      <c r="J9" s="31" t="s">
        <v>0</v>
      </c>
      <c r="K9" s="113"/>
      <c r="L9" s="376"/>
      <c r="M9" s="379"/>
      <c r="N9" s="659"/>
      <c r="O9" s="659"/>
      <c r="P9" s="659"/>
      <c r="Q9" s="659"/>
      <c r="R9" s="659"/>
      <c r="S9" s="659"/>
      <c r="T9" s="659"/>
      <c r="U9" s="659"/>
      <c r="V9" s="391"/>
      <c r="W9" s="34"/>
      <c r="X9" s="20"/>
      <c r="Y9" s="499"/>
      <c r="Z9" s="504"/>
      <c r="AA9" s="499"/>
      <c r="AB9" s="499"/>
      <c r="AC9" s="509"/>
      <c r="AD9" s="509"/>
      <c r="AE9" s="509"/>
      <c r="AF9" s="509"/>
    </row>
    <row r="10" spans="1:32" s="8" customFormat="1" ht="16" customHeight="1" thickTop="1" thickBot="1" x14ac:dyDescent="0.35">
      <c r="B10" s="114"/>
      <c r="C10" s="173" t="s">
        <v>7</v>
      </c>
      <c r="D10" s="170"/>
      <c r="E10" s="253">
        <f>E8</f>
        <v>43466</v>
      </c>
      <c r="F10" s="272"/>
      <c r="G10" s="470"/>
      <c r="H10" s="399">
        <f>H8</f>
        <v>43497</v>
      </c>
      <c r="I10" s="452"/>
      <c r="J10" s="479"/>
      <c r="K10" s="115"/>
      <c r="L10" s="106"/>
      <c r="M10" s="28"/>
      <c r="N10" s="659"/>
      <c r="O10" s="659"/>
      <c r="P10" s="659"/>
      <c r="Q10" s="659"/>
      <c r="R10" s="659"/>
      <c r="S10" s="659"/>
      <c r="T10" s="659"/>
      <c r="U10" s="659"/>
      <c r="V10" s="393"/>
      <c r="W10" s="35"/>
      <c r="X10" s="7"/>
      <c r="Y10" s="499" t="s">
        <v>163</v>
      </c>
      <c r="Z10" s="505"/>
      <c r="AA10" s="499">
        <f>IF(T3="直島町",0,1)</f>
        <v>1</v>
      </c>
      <c r="AB10" s="506" t="s">
        <v>165</v>
      </c>
      <c r="AC10" s="511"/>
      <c r="AD10" s="511"/>
      <c r="AE10" s="511"/>
      <c r="AF10" s="511"/>
    </row>
    <row r="11" spans="1:32" s="8" customFormat="1" ht="16" customHeight="1" thickTop="1" x14ac:dyDescent="0.3">
      <c r="B11" s="114"/>
      <c r="C11" s="173" t="s">
        <v>7</v>
      </c>
      <c r="D11" s="170"/>
      <c r="E11" s="167">
        <f>E10+1</f>
        <v>43467</v>
      </c>
      <c r="F11" s="211"/>
      <c r="G11" s="237"/>
      <c r="H11" s="364">
        <f>H10+1</f>
        <v>43498</v>
      </c>
      <c r="I11" s="461"/>
      <c r="J11" s="480"/>
      <c r="K11" s="115"/>
      <c r="L11" s="106"/>
      <c r="M11" s="28"/>
      <c r="N11" s="659"/>
      <c r="O11" s="659"/>
      <c r="P11" s="659"/>
      <c r="Q11" s="659"/>
      <c r="R11" s="659"/>
      <c r="S11" s="659"/>
      <c r="T11" s="659"/>
      <c r="U11" s="659"/>
      <c r="V11" s="393"/>
      <c r="W11" s="35"/>
      <c r="X11" s="7"/>
      <c r="Y11" s="507">
        <f>COUNTIF(F34:F40,"○")</f>
        <v>0</v>
      </c>
      <c r="Z11" s="508"/>
      <c r="AA11" s="509">
        <f>AA8*AA10</f>
        <v>7</v>
      </c>
      <c r="AB11" s="509" t="s">
        <v>166</v>
      </c>
      <c r="AC11" s="511"/>
      <c r="AD11" s="511"/>
      <c r="AE11" s="511"/>
      <c r="AF11" s="511"/>
    </row>
    <row r="12" spans="1:32" s="8" customFormat="1" ht="16" customHeight="1" x14ac:dyDescent="0.3">
      <c r="B12" s="114"/>
      <c r="C12" s="173" t="s">
        <v>7</v>
      </c>
      <c r="D12" s="170"/>
      <c r="E12" s="167">
        <f t="shared" ref="E12:E39" si="0">E11+1</f>
        <v>43468</v>
      </c>
      <c r="F12" s="211"/>
      <c r="G12" s="237"/>
      <c r="H12" s="145">
        <f t="shared" ref="H12:H37" si="1">H11+1</f>
        <v>43499</v>
      </c>
      <c r="I12" s="314"/>
      <c r="J12" s="481"/>
      <c r="K12" s="115"/>
      <c r="L12" s="106"/>
      <c r="M12" s="28"/>
      <c r="N12" s="659"/>
      <c r="O12" s="659"/>
      <c r="P12" s="659"/>
      <c r="Q12" s="659"/>
      <c r="R12" s="659"/>
      <c r="S12" s="659"/>
      <c r="T12" s="659"/>
      <c r="U12" s="659"/>
      <c r="V12" s="393"/>
      <c r="W12" s="35"/>
      <c r="X12" s="7"/>
      <c r="Y12" s="506" t="s">
        <v>171</v>
      </c>
      <c r="Z12" s="510">
        <v>42370</v>
      </c>
      <c r="AA12" s="511"/>
      <c r="AB12" s="511"/>
      <c r="AC12" s="511"/>
      <c r="AD12" s="511"/>
      <c r="AE12" s="511"/>
      <c r="AF12" s="511"/>
    </row>
    <row r="13" spans="1:32" s="8" customFormat="1" ht="16" customHeight="1" x14ac:dyDescent="0.3">
      <c r="B13" s="114"/>
      <c r="C13" s="173" t="s">
        <v>23</v>
      </c>
      <c r="D13" s="170"/>
      <c r="E13" s="167">
        <f>E12+1</f>
        <v>43469</v>
      </c>
      <c r="F13" s="211"/>
      <c r="G13" s="237"/>
      <c r="H13" s="145">
        <f>H12+1</f>
        <v>43500</v>
      </c>
      <c r="I13" s="314"/>
      <c r="J13" s="481"/>
      <c r="K13" s="115"/>
      <c r="L13" s="106"/>
      <c r="M13" s="28"/>
      <c r="N13" s="659"/>
      <c r="O13" s="659"/>
      <c r="P13" s="659"/>
      <c r="Q13" s="659"/>
      <c r="R13" s="659"/>
      <c r="S13" s="659"/>
      <c r="T13" s="659"/>
      <c r="U13" s="659"/>
      <c r="V13" s="393"/>
      <c r="W13" s="35"/>
      <c r="X13" s="7"/>
      <c r="Y13" s="512">
        <f>Y8+Y11</f>
        <v>0</v>
      </c>
      <c r="Z13" s="510">
        <v>42380</v>
      </c>
      <c r="AA13" s="511"/>
      <c r="AB13" s="511"/>
      <c r="AC13" s="511"/>
      <c r="AD13" s="511"/>
      <c r="AE13" s="511"/>
      <c r="AF13" s="511"/>
    </row>
    <row r="14" spans="1:32" s="8" customFormat="1" ht="16" customHeight="1" x14ac:dyDescent="0.3">
      <c r="B14" s="114"/>
      <c r="C14" s="173" t="s">
        <v>7</v>
      </c>
      <c r="D14" s="170"/>
      <c r="E14" s="167">
        <f t="shared" si="0"/>
        <v>43470</v>
      </c>
      <c r="F14" s="211"/>
      <c r="G14" s="237"/>
      <c r="H14" s="145">
        <f t="shared" si="1"/>
        <v>43501</v>
      </c>
      <c r="I14" s="314"/>
      <c r="J14" s="481"/>
      <c r="K14" s="115"/>
      <c r="L14" s="106"/>
      <c r="M14" s="28"/>
      <c r="N14" s="659"/>
      <c r="O14" s="659"/>
      <c r="P14" s="659"/>
      <c r="Q14" s="659"/>
      <c r="R14" s="659"/>
      <c r="S14" s="659"/>
      <c r="T14" s="659"/>
      <c r="U14" s="659"/>
      <c r="V14" s="393"/>
      <c r="W14" s="35"/>
      <c r="X14" s="7"/>
      <c r="Y14" s="506" t="s">
        <v>165</v>
      </c>
      <c r="Z14" s="510">
        <v>42411</v>
      </c>
      <c r="AA14" s="499">
        <f>IF(T3="直島町",12,13)</f>
        <v>13</v>
      </c>
      <c r="AB14" s="511" t="s">
        <v>167</v>
      </c>
      <c r="AC14" s="511"/>
      <c r="AD14" s="511"/>
      <c r="AE14" s="511"/>
      <c r="AF14" s="511"/>
    </row>
    <row r="15" spans="1:32" s="8" customFormat="1" ht="16" customHeight="1" x14ac:dyDescent="0.3">
      <c r="B15" s="114"/>
      <c r="C15" s="173" t="s">
        <v>7</v>
      </c>
      <c r="D15" s="170"/>
      <c r="E15" s="281">
        <f t="shared" si="0"/>
        <v>43471</v>
      </c>
      <c r="F15" s="212"/>
      <c r="G15" s="471"/>
      <c r="H15" s="215">
        <f t="shared" si="1"/>
        <v>43502</v>
      </c>
      <c r="I15" s="453"/>
      <c r="J15" s="482"/>
      <c r="K15" s="115"/>
      <c r="L15" s="106"/>
      <c r="M15" s="28"/>
      <c r="N15" s="659"/>
      <c r="O15" s="659"/>
      <c r="P15" s="659"/>
      <c r="Q15" s="659"/>
      <c r="R15" s="659"/>
      <c r="S15" s="659"/>
      <c r="T15" s="659"/>
      <c r="U15" s="659"/>
      <c r="V15" s="393"/>
      <c r="W15" s="35"/>
      <c r="X15" s="7"/>
      <c r="Y15" s="499">
        <f>IF(T3="直島町",0,1)</f>
        <v>1</v>
      </c>
      <c r="Z15" s="525">
        <v>42489</v>
      </c>
      <c r="AA15" s="511"/>
      <c r="AB15" s="511"/>
      <c r="AC15" s="511"/>
      <c r="AD15" s="511"/>
      <c r="AE15" s="511"/>
      <c r="AF15" s="511"/>
    </row>
    <row r="16" spans="1:32" s="8" customFormat="1" ht="16" customHeight="1" x14ac:dyDescent="0.3">
      <c r="B16" s="114"/>
      <c r="C16" s="173" t="s">
        <v>7</v>
      </c>
      <c r="D16" s="170"/>
      <c r="E16" s="253">
        <f t="shared" si="0"/>
        <v>43472</v>
      </c>
      <c r="F16" s="272"/>
      <c r="G16" s="470"/>
      <c r="H16" s="216">
        <f t="shared" si="1"/>
        <v>43503</v>
      </c>
      <c r="I16" s="454"/>
      <c r="J16" s="483"/>
      <c r="K16" s="115"/>
      <c r="L16" s="106"/>
      <c r="M16" s="28"/>
      <c r="N16" s="659"/>
      <c r="O16" s="659"/>
      <c r="P16" s="659"/>
      <c r="Q16" s="659"/>
      <c r="R16" s="659"/>
      <c r="S16" s="659"/>
      <c r="T16" s="659"/>
      <c r="U16" s="659"/>
      <c r="V16" s="393"/>
      <c r="W16" s="35"/>
      <c r="X16" s="7"/>
      <c r="Y16" s="513">
        <f>Y13*Y15</f>
        <v>0</v>
      </c>
      <c r="Z16" s="525">
        <v>42493</v>
      </c>
      <c r="AA16" s="511"/>
      <c r="AB16" s="511"/>
      <c r="AC16" s="511"/>
      <c r="AD16" s="511"/>
      <c r="AE16" s="511"/>
      <c r="AF16" s="511"/>
    </row>
    <row r="17" spans="2:32" s="8" customFormat="1" ht="16" customHeight="1" x14ac:dyDescent="0.3">
      <c r="B17" s="114"/>
      <c r="C17" s="173" t="s">
        <v>7</v>
      </c>
      <c r="D17" s="170"/>
      <c r="E17" s="167">
        <f t="shared" si="0"/>
        <v>43473</v>
      </c>
      <c r="F17" s="211"/>
      <c r="G17" s="237"/>
      <c r="H17" s="145">
        <f t="shared" si="1"/>
        <v>43504</v>
      </c>
      <c r="I17" s="314"/>
      <c r="J17" s="481"/>
      <c r="K17" s="115"/>
      <c r="L17" s="106"/>
      <c r="M17" s="28"/>
      <c r="N17" s="659"/>
      <c r="O17" s="659"/>
      <c r="P17" s="659"/>
      <c r="Q17" s="659"/>
      <c r="R17" s="659"/>
      <c r="S17" s="659"/>
      <c r="T17" s="659"/>
      <c r="U17" s="659"/>
      <c r="V17" s="393"/>
      <c r="W17" s="35"/>
      <c r="X17" s="7"/>
      <c r="Y17" s="514"/>
      <c r="Z17" s="525">
        <v>42494</v>
      </c>
      <c r="AA17" s="511"/>
      <c r="AB17" s="511"/>
      <c r="AC17" s="511"/>
      <c r="AD17" s="511"/>
      <c r="AE17" s="511"/>
      <c r="AF17" s="511"/>
    </row>
    <row r="18" spans="2:32" s="8" customFormat="1" ht="16" customHeight="1" x14ac:dyDescent="0.3">
      <c r="B18" s="114"/>
      <c r="C18" s="173" t="s">
        <v>7</v>
      </c>
      <c r="D18" s="170"/>
      <c r="E18" s="167">
        <f t="shared" si="0"/>
        <v>43474</v>
      </c>
      <c r="F18" s="211"/>
      <c r="G18" s="237"/>
      <c r="H18" s="145">
        <f t="shared" si="1"/>
        <v>43505</v>
      </c>
      <c r="I18" s="314"/>
      <c r="J18" s="481"/>
      <c r="K18" s="115"/>
      <c r="L18" s="106"/>
      <c r="M18" s="28"/>
      <c r="N18" s="659"/>
      <c r="O18" s="659"/>
      <c r="P18" s="659"/>
      <c r="Q18" s="659"/>
      <c r="R18" s="659"/>
      <c r="S18" s="659"/>
      <c r="T18" s="659"/>
      <c r="U18" s="659"/>
      <c r="V18" s="393"/>
      <c r="W18" s="35"/>
      <c r="X18" s="7"/>
      <c r="Y18" s="514"/>
      <c r="Z18" s="525">
        <v>42495</v>
      </c>
      <c r="AA18" s="511"/>
      <c r="AB18" s="511"/>
      <c r="AC18" s="511"/>
      <c r="AD18" s="511"/>
      <c r="AE18" s="511"/>
      <c r="AF18" s="511"/>
    </row>
    <row r="19" spans="2:32" s="8" customFormat="1" ht="16" customHeight="1" x14ac:dyDescent="0.3">
      <c r="B19" s="114"/>
      <c r="C19" s="173" t="s">
        <v>7</v>
      </c>
      <c r="D19" s="170"/>
      <c r="E19" s="167">
        <f t="shared" si="0"/>
        <v>43475</v>
      </c>
      <c r="F19" s="211"/>
      <c r="G19" s="237"/>
      <c r="H19" s="145">
        <f t="shared" si="1"/>
        <v>43506</v>
      </c>
      <c r="I19" s="314"/>
      <c r="J19" s="481"/>
      <c r="K19" s="115"/>
      <c r="L19" s="106"/>
      <c r="M19" s="28"/>
      <c r="N19" s="659"/>
      <c r="O19" s="659"/>
      <c r="P19" s="659"/>
      <c r="Q19" s="659"/>
      <c r="R19" s="659"/>
      <c r="S19" s="659"/>
      <c r="T19" s="659"/>
      <c r="U19" s="659"/>
      <c r="V19" s="393"/>
      <c r="W19" s="35"/>
      <c r="X19" s="7"/>
      <c r="Y19" s="514" t="s">
        <v>175</v>
      </c>
      <c r="Z19" s="525">
        <v>42569</v>
      </c>
      <c r="AA19" s="511" t="s">
        <v>178</v>
      </c>
      <c r="AB19" s="511"/>
      <c r="AC19" s="511"/>
      <c r="AD19" s="511"/>
      <c r="AE19" s="511"/>
      <c r="AF19" s="511"/>
    </row>
    <row r="20" spans="2:32" s="8" customFormat="1" ht="16" customHeight="1" x14ac:dyDescent="0.3">
      <c r="B20" s="114"/>
      <c r="C20" s="173" t="s">
        <v>7</v>
      </c>
      <c r="D20" s="170"/>
      <c r="E20" s="281">
        <f t="shared" si="0"/>
        <v>43476</v>
      </c>
      <c r="F20" s="212"/>
      <c r="G20" s="471"/>
      <c r="H20" s="215">
        <f t="shared" si="1"/>
        <v>43507</v>
      </c>
      <c r="I20" s="453"/>
      <c r="J20" s="482"/>
      <c r="K20" s="115"/>
      <c r="L20" s="106"/>
      <c r="M20" s="28"/>
      <c r="N20" s="659"/>
      <c r="O20" s="659"/>
      <c r="P20" s="659"/>
      <c r="Q20" s="659"/>
      <c r="R20" s="659"/>
      <c r="S20" s="659"/>
      <c r="T20" s="659"/>
      <c r="U20" s="659"/>
      <c r="V20" s="393"/>
      <c r="W20" s="35"/>
      <c r="X20" s="7"/>
      <c r="Y20" s="499" t="s">
        <v>164</v>
      </c>
      <c r="Z20" s="525">
        <v>42632</v>
      </c>
      <c r="AA20" s="499" t="s">
        <v>165</v>
      </c>
      <c r="AB20" s="511"/>
      <c r="AC20" s="511"/>
      <c r="AD20" s="511"/>
      <c r="AE20" s="511"/>
      <c r="AF20" s="511"/>
    </row>
    <row r="21" spans="2:32" s="8" customFormat="1" ht="16" customHeight="1" x14ac:dyDescent="0.3">
      <c r="B21" s="114"/>
      <c r="C21" s="173" t="s">
        <v>23</v>
      </c>
      <c r="D21" s="170"/>
      <c r="E21" s="283">
        <f t="shared" si="0"/>
        <v>43477</v>
      </c>
      <c r="F21" s="275"/>
      <c r="G21" s="486"/>
      <c r="H21" s="321">
        <f t="shared" si="1"/>
        <v>43508</v>
      </c>
      <c r="I21" s="455"/>
      <c r="J21" s="484"/>
      <c r="K21" s="115"/>
      <c r="L21" s="106"/>
      <c r="M21" s="28"/>
      <c r="N21" s="659"/>
      <c r="O21" s="659"/>
      <c r="P21" s="659"/>
      <c r="Q21" s="659"/>
      <c r="R21" s="659"/>
      <c r="S21" s="659"/>
      <c r="T21" s="659"/>
      <c r="U21" s="659"/>
      <c r="V21" s="393"/>
      <c r="W21" s="35"/>
      <c r="X21" s="7"/>
      <c r="Y21" s="499">
        <f>IF(T6="綾川町・まんのう町・直島町　以外",4,0)</f>
        <v>0</v>
      </c>
      <c r="Z21" s="525">
        <v>42635</v>
      </c>
      <c r="AA21" s="499">
        <f>IF(T3="直島町",0,COUNTIF(I10,"○"))</f>
        <v>0</v>
      </c>
      <c r="AB21" s="511"/>
      <c r="AC21" s="511"/>
      <c r="AD21" s="511"/>
      <c r="AE21" s="511"/>
      <c r="AF21" s="511"/>
    </row>
    <row r="22" spans="2:32" s="8" customFormat="1" ht="16" customHeight="1" thickBot="1" x14ac:dyDescent="0.35">
      <c r="B22" s="114"/>
      <c r="C22" s="173" t="s">
        <v>7</v>
      </c>
      <c r="D22" s="170"/>
      <c r="E22" s="313">
        <f t="shared" si="0"/>
        <v>43478</v>
      </c>
      <c r="F22" s="450"/>
      <c r="G22" s="472"/>
      <c r="H22" s="319">
        <f t="shared" si="1"/>
        <v>43509</v>
      </c>
      <c r="I22" s="306"/>
      <c r="J22" s="478"/>
      <c r="K22" s="115"/>
      <c r="L22" s="106"/>
      <c r="M22" s="28"/>
      <c r="N22" s="659"/>
      <c r="O22" s="659"/>
      <c r="P22" s="659"/>
      <c r="Q22" s="659"/>
      <c r="R22" s="659"/>
      <c r="S22" s="659"/>
      <c r="T22" s="659"/>
      <c r="U22" s="659"/>
      <c r="V22" s="393"/>
      <c r="W22" s="35"/>
      <c r="X22" s="7"/>
      <c r="Y22" s="514" t="s">
        <v>176</v>
      </c>
      <c r="Z22" s="525">
        <v>42653</v>
      </c>
      <c r="AA22" s="499"/>
      <c r="AB22" s="511"/>
      <c r="AC22" s="511"/>
      <c r="AD22" s="511"/>
      <c r="AE22" s="511"/>
      <c r="AF22" s="511"/>
    </row>
    <row r="23" spans="2:32" s="8" customFormat="1" ht="16" customHeight="1" thickTop="1" x14ac:dyDescent="0.3">
      <c r="B23" s="114"/>
      <c r="C23" s="173" t="s">
        <v>7</v>
      </c>
      <c r="D23" s="170"/>
      <c r="E23" s="313">
        <f t="shared" si="0"/>
        <v>43479</v>
      </c>
      <c r="F23" s="450"/>
      <c r="G23" s="473"/>
      <c r="H23" s="320">
        <f t="shared" si="1"/>
        <v>43510</v>
      </c>
      <c r="I23" s="451"/>
      <c r="J23" s="485"/>
      <c r="K23" s="115"/>
      <c r="L23" s="106"/>
      <c r="M23" s="28"/>
      <c r="N23" s="659"/>
      <c r="O23" s="659"/>
      <c r="P23" s="659"/>
      <c r="Q23" s="659"/>
      <c r="R23" s="659"/>
      <c r="S23" s="659"/>
      <c r="T23" s="659"/>
      <c r="U23" s="659"/>
      <c r="V23" s="393"/>
      <c r="W23" s="35"/>
      <c r="X23" s="7"/>
      <c r="Y23" s="513">
        <v>7</v>
      </c>
      <c r="Z23" s="525">
        <v>42677</v>
      </c>
      <c r="AA23" s="499" t="s">
        <v>172</v>
      </c>
      <c r="AB23" s="511"/>
      <c r="AC23" s="511"/>
      <c r="AD23" s="511"/>
      <c r="AE23" s="511"/>
      <c r="AF23" s="511"/>
    </row>
    <row r="24" spans="2:32" s="8" customFormat="1" ht="16" customHeight="1" x14ac:dyDescent="0.3">
      <c r="B24" s="114"/>
      <c r="C24" s="173" t="s">
        <v>7</v>
      </c>
      <c r="D24" s="170"/>
      <c r="E24" s="313">
        <f t="shared" si="0"/>
        <v>43480</v>
      </c>
      <c r="F24" s="450"/>
      <c r="G24" s="473"/>
      <c r="H24" s="313">
        <f t="shared" si="1"/>
        <v>43511</v>
      </c>
      <c r="I24" s="450"/>
      <c r="J24" s="473"/>
      <c r="K24" s="115"/>
      <c r="L24" s="106"/>
      <c r="M24" s="28"/>
      <c r="N24" s="659"/>
      <c r="O24" s="659"/>
      <c r="P24" s="659"/>
      <c r="Q24" s="659"/>
      <c r="R24" s="659"/>
      <c r="S24" s="659"/>
      <c r="T24" s="659"/>
      <c r="U24" s="659"/>
      <c r="V24" s="393"/>
      <c r="W24" s="35"/>
      <c r="X24" s="7"/>
      <c r="Y24" s="506" t="s">
        <v>171</v>
      </c>
      <c r="Z24" s="525">
        <v>42697</v>
      </c>
      <c r="AA24" s="507">
        <f>COUNTIF(I11:I22,"○")</f>
        <v>0</v>
      </c>
      <c r="AB24" s="511"/>
      <c r="AC24" s="511"/>
      <c r="AD24" s="511"/>
      <c r="AE24" s="511"/>
      <c r="AF24" s="511"/>
    </row>
    <row r="25" spans="2:32" s="8" customFormat="1" ht="16" customHeight="1" x14ac:dyDescent="0.3">
      <c r="B25" s="114"/>
      <c r="C25" s="173" t="s">
        <v>7</v>
      </c>
      <c r="D25" s="170"/>
      <c r="E25" s="313">
        <f t="shared" si="0"/>
        <v>43481</v>
      </c>
      <c r="F25" s="450"/>
      <c r="G25" s="473"/>
      <c r="H25" s="313">
        <f t="shared" si="1"/>
        <v>43512</v>
      </c>
      <c r="I25" s="450"/>
      <c r="J25" s="473"/>
      <c r="K25" s="115"/>
      <c r="L25" s="106"/>
      <c r="M25" s="28"/>
      <c r="N25" s="659"/>
      <c r="O25" s="659"/>
      <c r="P25" s="659"/>
      <c r="Q25" s="659"/>
      <c r="R25" s="659"/>
      <c r="S25" s="659"/>
      <c r="T25" s="659"/>
      <c r="U25" s="659"/>
      <c r="V25" s="393"/>
      <c r="W25" s="35"/>
      <c r="X25" s="7"/>
      <c r="Y25" s="512">
        <f>Y21+Y23</f>
        <v>7</v>
      </c>
      <c r="Z25" s="525">
        <v>42727</v>
      </c>
      <c r="AA25" s="506" t="s">
        <v>171</v>
      </c>
      <c r="AB25" s="511"/>
      <c r="AC25" s="511"/>
      <c r="AD25" s="511"/>
      <c r="AE25" s="511"/>
      <c r="AF25" s="511"/>
    </row>
    <row r="26" spans="2:32" s="8" customFormat="1" ht="16" customHeight="1" x14ac:dyDescent="0.3">
      <c r="B26" s="114"/>
      <c r="C26" s="173" t="s">
        <v>7</v>
      </c>
      <c r="D26" s="170"/>
      <c r="E26" s="313">
        <f t="shared" si="0"/>
        <v>43482</v>
      </c>
      <c r="F26" s="450"/>
      <c r="G26" s="473"/>
      <c r="H26" s="313">
        <f t="shared" si="1"/>
        <v>43513</v>
      </c>
      <c r="I26" s="450"/>
      <c r="J26" s="473"/>
      <c r="K26" s="115"/>
      <c r="L26" s="106"/>
      <c r="M26" s="28"/>
      <c r="N26" s="659"/>
      <c r="O26" s="659"/>
      <c r="P26" s="659"/>
      <c r="Q26" s="659"/>
      <c r="R26" s="659"/>
      <c r="S26" s="659"/>
      <c r="T26" s="659"/>
      <c r="U26" s="659"/>
      <c r="V26" s="393"/>
      <c r="W26" s="35"/>
      <c r="X26" s="7"/>
      <c r="Y26" s="506" t="s">
        <v>165</v>
      </c>
      <c r="Z26" s="504">
        <v>42736</v>
      </c>
      <c r="AA26" s="512">
        <f>AA21+AA24</f>
        <v>0</v>
      </c>
      <c r="AB26" s="511"/>
      <c r="AC26" s="511"/>
      <c r="AD26" s="511"/>
      <c r="AE26" s="511"/>
      <c r="AF26" s="511"/>
    </row>
    <row r="27" spans="2:32" s="8" customFormat="1" ht="16" customHeight="1" x14ac:dyDescent="0.3">
      <c r="B27" s="114"/>
      <c r="C27" s="173" t="s">
        <v>7</v>
      </c>
      <c r="D27" s="170"/>
      <c r="E27" s="313">
        <f t="shared" si="0"/>
        <v>43483</v>
      </c>
      <c r="F27" s="450"/>
      <c r="G27" s="473"/>
      <c r="H27" s="313">
        <f t="shared" si="1"/>
        <v>43514</v>
      </c>
      <c r="I27" s="450"/>
      <c r="J27" s="473"/>
      <c r="K27" s="115"/>
      <c r="L27" s="106"/>
      <c r="M27" s="28"/>
      <c r="N27" s="659"/>
      <c r="O27" s="659"/>
      <c r="P27" s="659"/>
      <c r="Q27" s="659"/>
      <c r="R27" s="659"/>
      <c r="S27" s="659"/>
      <c r="T27" s="659"/>
      <c r="U27" s="659"/>
      <c r="V27" s="393"/>
      <c r="W27" s="35"/>
      <c r="X27" s="7"/>
      <c r="Y27" s="499">
        <f>IF(T6="直島町",0,1)</f>
        <v>1</v>
      </c>
      <c r="Z27" s="504">
        <v>42744</v>
      </c>
      <c r="AA27" s="511"/>
      <c r="AB27" s="511"/>
      <c r="AC27" s="511"/>
      <c r="AD27" s="511"/>
      <c r="AE27" s="511"/>
      <c r="AF27" s="511"/>
    </row>
    <row r="28" spans="2:32" s="8" customFormat="1" ht="16" customHeight="1" x14ac:dyDescent="0.3">
      <c r="B28" s="114"/>
      <c r="C28" s="173" t="s">
        <v>23</v>
      </c>
      <c r="D28" s="170"/>
      <c r="E28" s="313">
        <f t="shared" si="0"/>
        <v>43484</v>
      </c>
      <c r="F28" s="450"/>
      <c r="G28" s="473"/>
      <c r="H28" s="313">
        <f t="shared" si="1"/>
        <v>43515</v>
      </c>
      <c r="I28" s="450"/>
      <c r="J28" s="473"/>
      <c r="K28" s="115"/>
      <c r="L28" s="106"/>
      <c r="M28" s="28"/>
      <c r="N28" s="659"/>
      <c r="O28" s="659"/>
      <c r="P28" s="659"/>
      <c r="Q28" s="659"/>
      <c r="R28" s="659"/>
      <c r="S28" s="659"/>
      <c r="T28" s="659"/>
      <c r="U28" s="659"/>
      <c r="V28" s="393"/>
      <c r="W28" s="35"/>
      <c r="X28" s="7"/>
      <c r="Y28" s="513">
        <f>Y25*Y27</f>
        <v>7</v>
      </c>
      <c r="Z28" s="504">
        <v>42777</v>
      </c>
      <c r="AA28" s="511"/>
      <c r="AB28" s="511"/>
      <c r="AC28" s="511"/>
      <c r="AD28" s="511"/>
      <c r="AE28" s="511"/>
      <c r="AF28" s="511"/>
    </row>
    <row r="29" spans="2:32" s="8" customFormat="1" ht="16" customHeight="1" thickBot="1" x14ac:dyDescent="0.35">
      <c r="B29" s="114"/>
      <c r="C29" s="173" t="s">
        <v>7</v>
      </c>
      <c r="D29" s="170"/>
      <c r="E29" s="316">
        <f t="shared" si="0"/>
        <v>43485</v>
      </c>
      <c r="F29" s="466"/>
      <c r="G29" s="474"/>
      <c r="H29" s="313">
        <f t="shared" si="1"/>
        <v>43516</v>
      </c>
      <c r="I29" s="450"/>
      <c r="J29" s="473"/>
      <c r="K29" s="115"/>
      <c r="L29" s="106"/>
      <c r="M29" s="28"/>
      <c r="N29" s="659"/>
      <c r="O29" s="659"/>
      <c r="P29" s="659"/>
      <c r="Q29" s="659"/>
      <c r="R29" s="659"/>
      <c r="S29" s="659"/>
      <c r="T29" s="659"/>
      <c r="U29" s="659"/>
      <c r="V29" s="393"/>
      <c r="W29" s="35"/>
      <c r="X29" s="7"/>
      <c r="Y29" s="514"/>
      <c r="Z29" s="504">
        <v>42814</v>
      </c>
      <c r="AA29" s="511"/>
      <c r="AB29" s="511"/>
      <c r="AC29" s="511"/>
      <c r="AD29" s="511"/>
      <c r="AE29" s="511"/>
      <c r="AF29" s="511"/>
    </row>
    <row r="30" spans="2:32" s="8" customFormat="1" ht="16" customHeight="1" thickTop="1" x14ac:dyDescent="0.3">
      <c r="B30" s="114"/>
      <c r="C30" s="173" t="s">
        <v>7</v>
      </c>
      <c r="D30" s="170"/>
      <c r="E30" s="317">
        <f t="shared" si="0"/>
        <v>43486</v>
      </c>
      <c r="F30" s="303"/>
      <c r="G30" s="475"/>
      <c r="H30" s="315">
        <f t="shared" si="1"/>
        <v>43517</v>
      </c>
      <c r="I30" s="450"/>
      <c r="J30" s="473"/>
      <c r="K30" s="115"/>
      <c r="L30" s="106"/>
      <c r="M30" s="28"/>
      <c r="N30" s="659"/>
      <c r="O30" s="659"/>
      <c r="P30" s="659"/>
      <c r="Q30" s="659"/>
      <c r="R30" s="659"/>
      <c r="S30" s="659"/>
      <c r="T30" s="659"/>
      <c r="U30" s="659"/>
      <c r="V30" s="393"/>
      <c r="W30" s="35"/>
      <c r="X30" s="7"/>
      <c r="Y30" s="514" t="s">
        <v>179</v>
      </c>
      <c r="Z30" s="504">
        <v>42854</v>
      </c>
      <c r="AA30" s="511"/>
      <c r="AB30" s="511"/>
      <c r="AC30" s="511"/>
      <c r="AD30" s="511"/>
      <c r="AE30" s="511"/>
      <c r="AF30" s="511"/>
    </row>
    <row r="31" spans="2:32" s="8" customFormat="1" ht="16" customHeight="1" x14ac:dyDescent="0.3">
      <c r="B31" s="114"/>
      <c r="C31" s="400"/>
      <c r="D31" s="170"/>
      <c r="E31" s="318">
        <f t="shared" si="0"/>
        <v>43487</v>
      </c>
      <c r="F31" s="300"/>
      <c r="G31" s="476"/>
      <c r="H31" s="315">
        <f t="shared" si="1"/>
        <v>43518</v>
      </c>
      <c r="I31" s="450"/>
      <c r="J31" s="473"/>
      <c r="K31" s="115"/>
      <c r="L31" s="106"/>
      <c r="M31" s="28"/>
      <c r="N31" s="659"/>
      <c r="O31" s="659"/>
      <c r="P31" s="659"/>
      <c r="Q31" s="659"/>
      <c r="R31" s="659"/>
      <c r="S31" s="659"/>
      <c r="T31" s="659"/>
      <c r="U31" s="659"/>
      <c r="V31" s="393"/>
      <c r="W31" s="35"/>
      <c r="X31" s="7"/>
      <c r="Y31" s="499" t="s">
        <v>159</v>
      </c>
      <c r="Z31" s="504">
        <v>42858</v>
      </c>
      <c r="AA31" s="511"/>
      <c r="AB31" s="511"/>
      <c r="AC31" s="511"/>
      <c r="AD31" s="511"/>
      <c r="AE31" s="511"/>
      <c r="AF31" s="511"/>
    </row>
    <row r="32" spans="2:32" s="8" customFormat="1" ht="16" customHeight="1" x14ac:dyDescent="0.3">
      <c r="B32" s="114"/>
      <c r="C32" s="173" t="s">
        <v>7</v>
      </c>
      <c r="D32" s="170"/>
      <c r="E32" s="318">
        <f t="shared" si="0"/>
        <v>43488</v>
      </c>
      <c r="F32" s="300"/>
      <c r="G32" s="476"/>
      <c r="H32" s="315">
        <f t="shared" si="1"/>
        <v>43519</v>
      </c>
      <c r="I32" s="450"/>
      <c r="J32" s="473"/>
      <c r="K32" s="115"/>
      <c r="L32" s="106"/>
      <c r="M32" s="28"/>
      <c r="N32" s="659"/>
      <c r="O32" s="659"/>
      <c r="P32" s="659"/>
      <c r="Q32" s="659"/>
      <c r="R32" s="659"/>
      <c r="S32" s="659"/>
      <c r="T32" s="659"/>
      <c r="U32" s="659"/>
      <c r="V32" s="393"/>
      <c r="W32" s="35"/>
      <c r="X32" s="7"/>
      <c r="Y32" s="499" t="e">
        <f>IF(#REF!="綾川町・まんのう町",0,SUM(I1:I4))</f>
        <v>#REF!</v>
      </c>
      <c r="Z32" s="504">
        <v>42859</v>
      </c>
      <c r="AA32" s="511"/>
      <c r="AB32" s="511"/>
      <c r="AC32" s="511"/>
      <c r="AD32" s="511"/>
      <c r="AE32" s="511"/>
      <c r="AF32" s="511"/>
    </row>
    <row r="33" spans="1:32" s="8" customFormat="1" ht="16" customHeight="1" thickBot="1" x14ac:dyDescent="0.35">
      <c r="B33" s="114"/>
      <c r="C33" s="173" t="s">
        <v>7</v>
      </c>
      <c r="D33" s="170"/>
      <c r="E33" s="363">
        <f t="shared" si="0"/>
        <v>43489</v>
      </c>
      <c r="F33" s="301"/>
      <c r="G33" s="477"/>
      <c r="H33" s="315">
        <f t="shared" si="1"/>
        <v>43520</v>
      </c>
      <c r="I33" s="450"/>
      <c r="J33" s="473"/>
      <c r="K33" s="115"/>
      <c r="L33" s="106"/>
      <c r="M33" s="28"/>
      <c r="N33" s="659"/>
      <c r="O33" s="659"/>
      <c r="P33" s="659"/>
      <c r="Q33" s="659"/>
      <c r="R33" s="659"/>
      <c r="S33" s="659"/>
      <c r="T33" s="659"/>
      <c r="U33" s="659"/>
      <c r="V33" s="393"/>
      <c r="W33" s="35"/>
      <c r="X33" s="7"/>
      <c r="Y33" s="499" t="s">
        <v>163</v>
      </c>
      <c r="Z33" s="504">
        <v>42860</v>
      </c>
      <c r="AA33" s="511"/>
      <c r="AB33" s="511"/>
      <c r="AC33" s="511"/>
      <c r="AD33" s="511"/>
      <c r="AE33" s="511"/>
      <c r="AF33" s="511"/>
    </row>
    <row r="34" spans="1:32" s="8" customFormat="1" ht="16" customHeight="1" thickTop="1" x14ac:dyDescent="0.3">
      <c r="B34" s="114"/>
      <c r="C34" s="173" t="s">
        <v>23</v>
      </c>
      <c r="D34" s="170"/>
      <c r="E34" s="317">
        <f t="shared" si="0"/>
        <v>43490</v>
      </c>
      <c r="F34" s="303"/>
      <c r="G34" s="475"/>
      <c r="H34" s="315">
        <f t="shared" si="1"/>
        <v>43521</v>
      </c>
      <c r="I34" s="450"/>
      <c r="J34" s="473"/>
      <c r="K34" s="115"/>
      <c r="L34" s="106"/>
      <c r="M34" s="28"/>
      <c r="N34" s="659"/>
      <c r="O34" s="659"/>
      <c r="P34" s="659"/>
      <c r="Q34" s="659"/>
      <c r="R34" s="659"/>
      <c r="S34" s="659"/>
      <c r="T34" s="659"/>
      <c r="U34" s="659"/>
      <c r="V34" s="393"/>
      <c r="W34" s="35"/>
      <c r="X34" s="7"/>
      <c r="Y34" s="516">
        <f>SUM(I5:I11)</f>
        <v>0</v>
      </c>
      <c r="Z34" s="504">
        <v>42933</v>
      </c>
      <c r="AA34" s="511"/>
      <c r="AB34" s="511"/>
      <c r="AC34" s="511"/>
      <c r="AD34" s="511"/>
      <c r="AE34" s="511"/>
      <c r="AF34" s="511"/>
    </row>
    <row r="35" spans="1:32" s="8" customFormat="1" ht="16" customHeight="1" x14ac:dyDescent="0.3">
      <c r="B35" s="114"/>
      <c r="C35" s="173" t="s">
        <v>7</v>
      </c>
      <c r="D35" s="170"/>
      <c r="E35" s="318">
        <f t="shared" si="0"/>
        <v>43491</v>
      </c>
      <c r="F35" s="300"/>
      <c r="G35" s="476"/>
      <c r="H35" s="315">
        <f t="shared" si="1"/>
        <v>43522</v>
      </c>
      <c r="I35" s="450"/>
      <c r="J35" s="473"/>
      <c r="K35" s="115"/>
      <c r="L35" s="106"/>
      <c r="M35" s="28"/>
      <c r="N35" s="659"/>
      <c r="O35" s="659"/>
      <c r="P35" s="659"/>
      <c r="Q35" s="659"/>
      <c r="R35" s="659"/>
      <c r="S35" s="659"/>
      <c r="T35" s="659"/>
      <c r="U35" s="659"/>
      <c r="V35" s="393"/>
      <c r="W35" s="35"/>
      <c r="X35" s="7"/>
      <c r="Y35" s="517" t="s">
        <v>171</v>
      </c>
      <c r="Z35" s="504">
        <v>42958</v>
      </c>
      <c r="AA35" s="511"/>
      <c r="AB35" s="511"/>
      <c r="AC35" s="511"/>
      <c r="AD35" s="511"/>
      <c r="AE35" s="511"/>
      <c r="AF35" s="511"/>
    </row>
    <row r="36" spans="1:32" s="8" customFormat="1" ht="16" customHeight="1" x14ac:dyDescent="0.3">
      <c r="B36" s="114"/>
      <c r="C36" s="173" t="s">
        <v>7</v>
      </c>
      <c r="D36" s="170"/>
      <c r="E36" s="318">
        <f t="shared" si="0"/>
        <v>43492</v>
      </c>
      <c r="F36" s="300"/>
      <c r="G36" s="476"/>
      <c r="H36" s="315">
        <f t="shared" si="1"/>
        <v>43523</v>
      </c>
      <c r="I36" s="450"/>
      <c r="J36" s="473"/>
      <c r="K36" s="115"/>
      <c r="L36" s="106"/>
      <c r="M36" s="28"/>
      <c r="N36" s="659"/>
      <c r="O36" s="659"/>
      <c r="P36" s="659"/>
      <c r="Q36" s="659"/>
      <c r="R36" s="659"/>
      <c r="S36" s="659"/>
      <c r="T36" s="659"/>
      <c r="U36" s="659"/>
      <c r="V36" s="393"/>
      <c r="W36" s="35"/>
      <c r="X36" s="7"/>
      <c r="Y36" s="518" t="e">
        <f>Y32+Y34</f>
        <v>#REF!</v>
      </c>
      <c r="Z36" s="504">
        <v>42996</v>
      </c>
      <c r="AA36" s="511"/>
      <c r="AB36" s="511"/>
      <c r="AC36" s="511"/>
      <c r="AD36" s="511"/>
      <c r="AE36" s="511"/>
      <c r="AF36" s="511"/>
    </row>
    <row r="37" spans="1:32" s="8" customFormat="1" ht="16" customHeight="1" x14ac:dyDescent="0.3">
      <c r="B37" s="114"/>
      <c r="C37" s="173" t="s">
        <v>7</v>
      </c>
      <c r="D37" s="170"/>
      <c r="E37" s="318">
        <f t="shared" si="0"/>
        <v>43493</v>
      </c>
      <c r="F37" s="300"/>
      <c r="G37" s="476"/>
      <c r="H37" s="315">
        <f t="shared" si="1"/>
        <v>43524</v>
      </c>
      <c r="I37" s="450"/>
      <c r="J37" s="473"/>
      <c r="K37" s="115"/>
      <c r="L37" s="106"/>
      <c r="M37" s="28"/>
      <c r="N37" s="659"/>
      <c r="O37" s="659"/>
      <c r="P37" s="659"/>
      <c r="Q37" s="659"/>
      <c r="R37" s="659"/>
      <c r="S37" s="659"/>
      <c r="T37" s="659"/>
      <c r="U37" s="659"/>
      <c r="V37" s="393"/>
      <c r="W37" s="35"/>
      <c r="X37" s="7"/>
      <c r="Y37" s="517" t="s">
        <v>165</v>
      </c>
      <c r="Z37" s="504">
        <v>43001</v>
      </c>
      <c r="AA37" s="511"/>
      <c r="AB37" s="511"/>
      <c r="AC37" s="511"/>
      <c r="AD37" s="511"/>
      <c r="AE37" s="511"/>
      <c r="AF37" s="511"/>
    </row>
    <row r="38" spans="1:32" s="8" customFormat="1" ht="16" customHeight="1" x14ac:dyDescent="0.3">
      <c r="B38" s="114"/>
      <c r="C38" s="173" t="s">
        <v>7</v>
      </c>
      <c r="D38" s="170"/>
      <c r="E38" s="318">
        <f t="shared" si="0"/>
        <v>43494</v>
      </c>
      <c r="F38" s="300"/>
      <c r="G38" s="476"/>
      <c r="H38" s="446"/>
      <c r="I38" s="445"/>
      <c r="J38" s="422"/>
      <c r="K38" s="115"/>
      <c r="L38" s="106"/>
      <c r="M38" s="28"/>
      <c r="N38" s="659"/>
      <c r="O38" s="659"/>
      <c r="P38" s="659"/>
      <c r="Q38" s="659"/>
      <c r="R38" s="659"/>
      <c r="S38" s="659"/>
      <c r="T38" s="659"/>
      <c r="U38" s="659"/>
      <c r="V38" s="393"/>
      <c r="W38" s="35"/>
      <c r="X38" s="7"/>
      <c r="Y38" s="499" t="e">
        <f>IF(#REF!="直島町",0,1)</f>
        <v>#REF!</v>
      </c>
      <c r="Z38" s="504">
        <v>43017</v>
      </c>
      <c r="AA38" s="511"/>
      <c r="AB38" s="511"/>
      <c r="AC38" s="511"/>
      <c r="AD38" s="511"/>
      <c r="AE38" s="511"/>
      <c r="AF38" s="511"/>
    </row>
    <row r="39" spans="1:32" s="8" customFormat="1" ht="16" customHeight="1" x14ac:dyDescent="0.3">
      <c r="B39" s="114"/>
      <c r="C39" s="173" t="s">
        <v>7</v>
      </c>
      <c r="D39" s="170"/>
      <c r="E39" s="318">
        <f t="shared" si="0"/>
        <v>43495</v>
      </c>
      <c r="F39" s="300"/>
      <c r="G39" s="476"/>
      <c r="H39" s="447"/>
      <c r="I39" s="170"/>
      <c r="J39" s="188"/>
      <c r="K39" s="115"/>
      <c r="L39" s="106"/>
      <c r="M39" s="28"/>
      <c r="N39" s="659"/>
      <c r="O39" s="659"/>
      <c r="P39" s="659"/>
      <c r="Q39" s="659"/>
      <c r="R39" s="659"/>
      <c r="S39" s="659"/>
      <c r="T39" s="659"/>
      <c r="U39" s="659"/>
      <c r="V39" s="393"/>
      <c r="W39" s="35"/>
      <c r="X39" s="7"/>
      <c r="Y39" s="499" t="e">
        <f>Y36*Y38</f>
        <v>#REF!</v>
      </c>
      <c r="Z39" s="504"/>
      <c r="AA39" s="511"/>
      <c r="AB39" s="511"/>
      <c r="AC39" s="511"/>
      <c r="AD39" s="511"/>
      <c r="AE39" s="511"/>
      <c r="AF39" s="511"/>
    </row>
    <row r="40" spans="1:32" s="8" customFormat="1" ht="16" customHeight="1" thickBot="1" x14ac:dyDescent="0.35">
      <c r="B40" s="114"/>
      <c r="C40" s="173" t="s">
        <v>7</v>
      </c>
      <c r="D40" s="170"/>
      <c r="E40" s="319">
        <f>IF(E39="","",IF(DAY(E39+1)=1,"",E39+1))</f>
        <v>43496</v>
      </c>
      <c r="F40" s="306"/>
      <c r="G40" s="478"/>
      <c r="H40" s="447"/>
      <c r="I40" s="170"/>
      <c r="J40" s="188"/>
      <c r="K40" s="115"/>
      <c r="L40" s="106"/>
      <c r="M40" s="28"/>
      <c r="N40" s="659"/>
      <c r="O40" s="659"/>
      <c r="P40" s="659"/>
      <c r="Q40" s="659"/>
      <c r="R40" s="659"/>
      <c r="S40" s="659"/>
      <c r="T40" s="659"/>
      <c r="U40" s="659"/>
      <c r="V40" s="393"/>
      <c r="W40" s="35"/>
      <c r="X40" s="7"/>
      <c r="Y40" s="522"/>
      <c r="Z40" s="504"/>
      <c r="AA40" s="511"/>
      <c r="AB40" s="511"/>
      <c r="AC40" s="511"/>
      <c r="AD40" s="511"/>
      <c r="AE40" s="511"/>
      <c r="AF40" s="511"/>
    </row>
    <row r="41" spans="1:32" s="8" customFormat="1" ht="7.5" customHeight="1" thickTop="1" x14ac:dyDescent="0.3">
      <c r="B41" s="114"/>
      <c r="C41" s="173" t="s">
        <v>7</v>
      </c>
      <c r="D41" s="173" t="s">
        <v>7</v>
      </c>
      <c r="E41" s="173" t="s">
        <v>7</v>
      </c>
      <c r="F41" s="173" t="s">
        <v>7</v>
      </c>
      <c r="G41" s="173" t="s">
        <v>7</v>
      </c>
      <c r="H41" s="173" t="s">
        <v>7</v>
      </c>
      <c r="I41" s="173" t="s">
        <v>7</v>
      </c>
      <c r="J41" s="173" t="s">
        <v>7</v>
      </c>
      <c r="K41" s="115"/>
      <c r="L41" s="106"/>
      <c r="M41" s="28"/>
      <c r="N41" s="659"/>
      <c r="O41" s="659"/>
      <c r="P41" s="659"/>
      <c r="Q41" s="659"/>
      <c r="R41" s="659"/>
      <c r="S41" s="659"/>
      <c r="T41" s="659"/>
      <c r="U41" s="659"/>
      <c r="V41" s="393"/>
      <c r="W41" s="35"/>
      <c r="X41" s="7"/>
      <c r="Y41" s="517"/>
      <c r="Z41" s="504">
        <v>43042</v>
      </c>
      <c r="AA41" s="511"/>
      <c r="AB41" s="511"/>
      <c r="AC41" s="511"/>
      <c r="AD41" s="511"/>
      <c r="AE41" s="511"/>
      <c r="AF41" s="511"/>
    </row>
    <row r="42" spans="1:32" ht="9" customHeight="1" thickBot="1" x14ac:dyDescent="0.35">
      <c r="A42" s="11"/>
      <c r="B42" s="148"/>
      <c r="C42" s="171"/>
      <c r="D42" s="149"/>
      <c r="E42" s="150"/>
      <c r="F42" s="150"/>
      <c r="G42" s="150"/>
      <c r="H42" s="150"/>
      <c r="I42" s="150"/>
      <c r="J42" s="150"/>
      <c r="K42" s="151"/>
      <c r="L42" s="198"/>
      <c r="M42" s="97"/>
      <c r="N42" s="659"/>
      <c r="O42" s="659"/>
      <c r="P42" s="659"/>
      <c r="Q42" s="659"/>
      <c r="R42" s="659"/>
      <c r="S42" s="659"/>
      <c r="T42" s="659"/>
      <c r="U42" s="659"/>
      <c r="V42" s="394"/>
      <c r="W42" s="10"/>
      <c r="X42" s="2"/>
      <c r="Y42" s="517"/>
      <c r="Z42" s="500"/>
      <c r="AA42" s="499"/>
      <c r="AB42" s="499"/>
      <c r="AC42" s="499"/>
      <c r="AD42" s="499"/>
      <c r="AE42" s="499"/>
      <c r="AF42" s="499"/>
    </row>
    <row r="43" spans="1:32" s="27" customFormat="1" ht="16" customHeight="1" x14ac:dyDescent="0.3">
      <c r="A43" s="99"/>
      <c r="B43" s="120"/>
      <c r="C43" s="146" t="s">
        <v>18</v>
      </c>
      <c r="D43" s="12"/>
      <c r="E43" s="12"/>
      <c r="F43" s="12"/>
      <c r="G43" s="28"/>
      <c r="H43" s="12"/>
      <c r="I43" s="12"/>
      <c r="J43" s="28"/>
      <c r="K43" s="121"/>
      <c r="L43" s="28"/>
      <c r="M43" s="28"/>
      <c r="N43" s="659"/>
      <c r="O43" s="659"/>
      <c r="P43" s="659"/>
      <c r="Q43" s="659"/>
      <c r="R43" s="659"/>
      <c r="S43" s="659"/>
      <c r="T43" s="659"/>
      <c r="U43" s="659"/>
      <c r="V43" s="393"/>
      <c r="W43" s="36"/>
      <c r="X43" s="29"/>
      <c r="Y43" s="499"/>
      <c r="Z43" s="502"/>
      <c r="AA43" s="503"/>
      <c r="AB43" s="503"/>
      <c r="AC43" s="503"/>
      <c r="AD43" s="503"/>
      <c r="AE43" s="503"/>
      <c r="AF43" s="503"/>
    </row>
    <row r="44" spans="1:32" ht="16" customHeight="1" x14ac:dyDescent="0.3">
      <c r="B44" s="156"/>
      <c r="K44" s="157"/>
      <c r="M44" s="74"/>
      <c r="N44" s="395"/>
      <c r="O44" s="395"/>
      <c r="P44" s="395"/>
      <c r="Q44" s="395"/>
      <c r="R44" s="395"/>
      <c r="S44" s="395"/>
      <c r="T44" s="395"/>
      <c r="U44" s="395"/>
      <c r="V44" s="395"/>
      <c r="Y44" s="522"/>
      <c r="Z44" s="504">
        <v>43220</v>
      </c>
      <c r="AA44" s="499"/>
      <c r="AB44" s="499"/>
      <c r="AC44" s="499"/>
      <c r="AD44" s="499"/>
      <c r="AE44" s="499"/>
      <c r="AF44" s="499"/>
    </row>
    <row r="45" spans="1:32" s="8" customFormat="1" ht="16" customHeight="1" x14ac:dyDescent="0.3">
      <c r="B45" s="114"/>
      <c r="C45" s="142" t="s">
        <v>4</v>
      </c>
      <c r="D45" s="12"/>
      <c r="E45" s="12"/>
      <c r="F45" s="12"/>
      <c r="G45" s="28"/>
      <c r="H45" s="12"/>
      <c r="I45" s="12"/>
      <c r="J45" s="28"/>
      <c r="K45" s="121"/>
      <c r="L45" s="28"/>
      <c r="M45" s="28"/>
      <c r="N45" s="396"/>
      <c r="O45" s="392"/>
      <c r="P45" s="392"/>
      <c r="Q45" s="392"/>
      <c r="R45" s="393"/>
      <c r="S45" s="392"/>
      <c r="T45" s="392"/>
      <c r="U45" s="393"/>
      <c r="V45" s="393"/>
      <c r="W45" s="35"/>
      <c r="X45" s="7"/>
      <c r="Y45" s="499"/>
      <c r="Z45" s="504"/>
      <c r="AA45" s="511"/>
      <c r="AB45" s="511"/>
      <c r="AC45" s="511"/>
      <c r="AD45" s="511"/>
      <c r="AE45" s="511"/>
      <c r="AF45" s="511"/>
    </row>
    <row r="46" spans="1:32" ht="16" customHeight="1" x14ac:dyDescent="0.3">
      <c r="B46" s="110"/>
      <c r="C46" s="11" t="s">
        <v>111</v>
      </c>
      <c r="D46" s="11"/>
      <c r="E46" s="11"/>
      <c r="F46" s="11"/>
      <c r="G46" s="25"/>
      <c r="H46" s="11"/>
      <c r="I46" s="11"/>
      <c r="J46" s="25"/>
      <c r="K46" s="118"/>
      <c r="L46" s="25"/>
      <c r="M46" s="75"/>
      <c r="N46" s="395"/>
      <c r="O46" s="395"/>
      <c r="P46" s="397"/>
      <c r="Q46" s="397"/>
      <c r="R46" s="397"/>
      <c r="S46" s="397"/>
      <c r="T46" s="397"/>
      <c r="U46" s="397"/>
      <c r="V46" s="397"/>
      <c r="Y46" s="522"/>
      <c r="Z46" s="504">
        <v>43092</v>
      </c>
      <c r="AA46" s="499"/>
      <c r="AB46" s="499"/>
      <c r="AC46" s="499"/>
      <c r="AD46" s="499"/>
      <c r="AE46" s="499"/>
      <c r="AF46" s="499"/>
    </row>
    <row r="47" spans="1:32" s="27" customFormat="1" ht="16" customHeight="1" thickBot="1" x14ac:dyDescent="0.35">
      <c r="B47" s="120"/>
      <c r="D47" s="12"/>
      <c r="E47" s="103" t="s">
        <v>67</v>
      </c>
      <c r="F47" s="12"/>
      <c r="G47" s="28"/>
      <c r="H47" s="12"/>
      <c r="I47" s="12"/>
      <c r="J47" s="28"/>
      <c r="K47" s="121"/>
      <c r="L47" s="28"/>
      <c r="M47" s="28"/>
      <c r="N47" s="398"/>
      <c r="O47" s="392"/>
      <c r="P47" s="392"/>
      <c r="Q47" s="392"/>
      <c r="R47" s="393"/>
      <c r="S47" s="392"/>
      <c r="T47" s="392"/>
      <c r="U47" s="393"/>
      <c r="V47" s="393"/>
      <c r="W47" s="36"/>
      <c r="X47" s="29"/>
      <c r="Y47" s="522"/>
      <c r="Z47" s="502"/>
      <c r="AA47" s="503"/>
      <c r="AB47" s="503"/>
      <c r="AC47" s="503"/>
      <c r="AD47" s="503"/>
      <c r="AE47" s="503"/>
      <c r="AF47" s="503"/>
    </row>
    <row r="48" spans="1:32" s="8" customFormat="1" ht="16" customHeight="1" thickBot="1" x14ac:dyDescent="0.35">
      <c r="B48" s="114"/>
      <c r="C48" s="596"/>
      <c r="D48" s="596"/>
      <c r="E48" s="587" t="s">
        <v>61</v>
      </c>
      <c r="F48" s="587"/>
      <c r="G48" s="493">
        <f>SUM(G10:G40)*Y15</f>
        <v>0</v>
      </c>
      <c r="H48" s="587" t="s">
        <v>62</v>
      </c>
      <c r="I48" s="587"/>
      <c r="J48" s="493">
        <f>SUM(J10:J37)</f>
        <v>0</v>
      </c>
      <c r="K48" s="115"/>
      <c r="L48" s="106"/>
      <c r="M48" s="28"/>
      <c r="N48" s="658"/>
      <c r="O48" s="658"/>
      <c r="P48" s="658"/>
      <c r="Q48" s="658"/>
      <c r="R48" s="385"/>
      <c r="S48" s="658"/>
      <c r="T48" s="658"/>
      <c r="U48" s="385"/>
      <c r="V48" s="28"/>
      <c r="W48" s="35"/>
      <c r="X48" s="7"/>
      <c r="Y48" s="517"/>
      <c r="Z48" s="504">
        <v>43062</v>
      </c>
      <c r="AA48" s="511"/>
      <c r="AB48" s="511"/>
      <c r="AC48" s="511"/>
      <c r="AD48" s="511"/>
      <c r="AE48" s="511"/>
      <c r="AF48" s="511"/>
    </row>
    <row r="49" spans="2:32" s="8" customFormat="1" ht="16" customHeight="1" x14ac:dyDescent="0.3">
      <c r="B49" s="114"/>
      <c r="C49" s="595"/>
      <c r="D49" s="595"/>
      <c r="E49" s="574" t="s">
        <v>63</v>
      </c>
      <c r="F49" s="574"/>
      <c r="G49" s="494">
        <f>(31-G50)*Y15</f>
        <v>31</v>
      </c>
      <c r="H49" s="574" t="s">
        <v>65</v>
      </c>
      <c r="I49" s="574"/>
      <c r="J49" s="494">
        <f>28-J50</f>
        <v>28</v>
      </c>
      <c r="K49" s="119"/>
      <c r="L49" s="58"/>
      <c r="M49" s="28"/>
      <c r="N49" s="619"/>
      <c r="O49" s="619"/>
      <c r="P49" s="619"/>
      <c r="Q49" s="619"/>
      <c r="R49" s="58"/>
      <c r="S49" s="619"/>
      <c r="T49" s="619"/>
      <c r="U49" s="58"/>
      <c r="V49" s="28"/>
      <c r="W49" s="35"/>
      <c r="X49" s="7"/>
      <c r="Y49" s="499"/>
      <c r="Z49" s="504"/>
      <c r="AA49" s="511"/>
      <c r="AB49" s="511"/>
      <c r="AC49" s="511"/>
      <c r="AD49" s="511"/>
      <c r="AE49" s="511"/>
      <c r="AF49" s="511"/>
    </row>
    <row r="50" spans="2:32" s="8" customFormat="1" ht="16" customHeight="1" x14ac:dyDescent="0.3">
      <c r="B50" s="114"/>
      <c r="C50" s="595"/>
      <c r="D50" s="595"/>
      <c r="E50" s="574" t="s">
        <v>64</v>
      </c>
      <c r="F50" s="574"/>
      <c r="G50" s="494">
        <f>COUNTIF(F10:F40,"○")*Y15</f>
        <v>0</v>
      </c>
      <c r="H50" s="574" t="s">
        <v>66</v>
      </c>
      <c r="I50" s="574"/>
      <c r="J50" s="494">
        <f>COUNTIF(I10:I37,"○")</f>
        <v>0</v>
      </c>
      <c r="K50" s="119"/>
      <c r="L50" s="58"/>
      <c r="M50" s="28"/>
      <c r="N50" s="619"/>
      <c r="O50" s="619"/>
      <c r="P50" s="619"/>
      <c r="Q50" s="619"/>
      <c r="R50" s="58"/>
      <c r="S50" s="619"/>
      <c r="T50" s="619"/>
      <c r="U50" s="58"/>
      <c r="V50" s="28"/>
      <c r="W50" s="35"/>
      <c r="X50" s="7"/>
      <c r="Y50" s="499"/>
      <c r="Z50" s="504"/>
      <c r="AA50" s="511"/>
      <c r="AB50" s="511"/>
      <c r="AC50" s="511"/>
      <c r="AD50" s="511"/>
      <c r="AE50" s="511"/>
      <c r="AF50" s="511"/>
    </row>
    <row r="51" spans="2:32" ht="16" customHeight="1" x14ac:dyDescent="0.3">
      <c r="B51" s="110"/>
      <c r="C51" s="322"/>
      <c r="D51" s="322"/>
      <c r="E51" s="620" t="s">
        <v>103</v>
      </c>
      <c r="F51" s="620"/>
      <c r="G51" s="620"/>
      <c r="H51" s="620"/>
      <c r="I51" s="620"/>
      <c r="J51" s="496">
        <f>G48+J48</f>
        <v>0</v>
      </c>
      <c r="K51" s="180"/>
      <c r="L51" s="37"/>
      <c r="M51" s="74"/>
      <c r="N51" s="322"/>
      <c r="O51" s="322"/>
      <c r="P51" s="656"/>
      <c r="Q51" s="657"/>
      <c r="R51" s="657"/>
      <c r="S51" s="657"/>
      <c r="T51" s="657"/>
      <c r="U51" s="386"/>
      <c r="V51" s="377"/>
      <c r="Y51" s="499"/>
      <c r="Z51" s="504">
        <v>43142</v>
      </c>
      <c r="AA51" s="499"/>
      <c r="AB51" s="499"/>
      <c r="AC51" s="499"/>
      <c r="AD51" s="499"/>
      <c r="AE51" s="499"/>
      <c r="AF51" s="499"/>
    </row>
    <row r="52" spans="2:32" ht="16" customHeight="1" x14ac:dyDescent="0.3">
      <c r="B52" s="110"/>
      <c r="C52" s="322"/>
      <c r="D52" s="322"/>
      <c r="E52" s="620" t="s">
        <v>104</v>
      </c>
      <c r="F52" s="620"/>
      <c r="G52" s="620"/>
      <c r="H52" s="620"/>
      <c r="I52" s="620"/>
      <c r="J52" s="524">
        <f>G49+J49</f>
        <v>59</v>
      </c>
      <c r="K52" s="180"/>
      <c r="L52" s="37"/>
      <c r="M52" s="74"/>
      <c r="N52" s="322"/>
      <c r="O52" s="322"/>
      <c r="P52" s="656"/>
      <c r="Q52" s="657"/>
      <c r="R52" s="657"/>
      <c r="S52" s="657"/>
      <c r="T52" s="657"/>
      <c r="U52" s="387"/>
      <c r="V52" s="377"/>
      <c r="Y52" s="499"/>
      <c r="Z52" s="504">
        <v>43142</v>
      </c>
      <c r="AA52" s="499"/>
      <c r="AB52" s="499"/>
      <c r="AC52" s="499"/>
      <c r="AD52" s="499"/>
      <c r="AE52" s="499"/>
      <c r="AF52" s="499"/>
    </row>
    <row r="53" spans="2:32" ht="16" customHeight="1" x14ac:dyDescent="0.3">
      <c r="B53" s="110"/>
      <c r="C53" s="322"/>
      <c r="D53" s="322"/>
      <c r="E53" s="569" t="s">
        <v>107</v>
      </c>
      <c r="F53" s="570"/>
      <c r="G53" s="570"/>
      <c r="H53" s="570"/>
      <c r="I53" s="571"/>
      <c r="J53" s="497">
        <f>ROUNDUP(J51/J52,0)</f>
        <v>0</v>
      </c>
      <c r="K53" s="180" t="s">
        <v>26</v>
      </c>
      <c r="L53" s="37"/>
      <c r="M53" s="74"/>
      <c r="N53" s="322"/>
      <c r="O53" s="322"/>
      <c r="P53" s="656"/>
      <c r="Q53" s="657"/>
      <c r="R53" s="657"/>
      <c r="S53" s="657"/>
      <c r="T53" s="657"/>
      <c r="U53" s="387"/>
      <c r="V53" s="377"/>
      <c r="Y53" s="499"/>
      <c r="Z53" s="504">
        <v>43142</v>
      </c>
      <c r="AA53" s="499"/>
      <c r="AB53" s="499"/>
      <c r="AC53" s="499"/>
      <c r="AD53" s="499"/>
      <c r="AE53" s="499"/>
      <c r="AF53" s="499"/>
    </row>
    <row r="54" spans="2:32" ht="16" customHeight="1" thickBot="1" x14ac:dyDescent="0.35">
      <c r="B54" s="110"/>
      <c r="C54" s="11"/>
      <c r="D54" s="11"/>
      <c r="E54" s="11"/>
      <c r="F54" s="11"/>
      <c r="G54" s="59"/>
      <c r="H54" s="11"/>
      <c r="I54" s="11"/>
      <c r="J54" s="59" t="s">
        <v>8</v>
      </c>
      <c r="K54" s="140"/>
      <c r="L54" s="199"/>
      <c r="M54" s="74"/>
      <c r="N54" s="74"/>
      <c r="O54" s="74"/>
      <c r="P54" s="74"/>
      <c r="Q54" s="74"/>
      <c r="R54" s="78"/>
      <c r="S54" s="74"/>
      <c r="T54" s="74"/>
      <c r="U54" s="78"/>
      <c r="V54" s="74"/>
      <c r="Y54" s="499"/>
      <c r="Z54" s="504">
        <v>43143</v>
      </c>
      <c r="AA54" s="499"/>
      <c r="AB54" s="499"/>
      <c r="AC54" s="499"/>
      <c r="AD54" s="499"/>
      <c r="AE54" s="499"/>
      <c r="AF54" s="499"/>
    </row>
    <row r="55" spans="2:32" ht="16" customHeight="1" x14ac:dyDescent="0.3">
      <c r="B55" s="124"/>
      <c r="C55" s="143" t="s">
        <v>6</v>
      </c>
      <c r="D55" s="41"/>
      <c r="E55" s="38"/>
      <c r="F55" s="38"/>
      <c r="G55" s="38"/>
      <c r="H55" s="38"/>
      <c r="I55" s="38"/>
      <c r="J55" s="38"/>
      <c r="K55" s="125"/>
      <c r="L55" s="11"/>
      <c r="M55" s="74"/>
      <c r="N55" s="389"/>
      <c r="O55" s="79"/>
      <c r="P55" s="74"/>
      <c r="Q55" s="74"/>
      <c r="R55" s="74"/>
      <c r="S55" s="74"/>
      <c r="T55" s="74"/>
      <c r="U55" s="74"/>
      <c r="V55" s="74"/>
      <c r="Y55" s="499"/>
      <c r="Z55" s="504"/>
      <c r="AA55" s="499"/>
      <c r="AB55" s="499"/>
      <c r="AC55" s="499"/>
      <c r="AD55" s="499"/>
      <c r="AE55" s="499"/>
      <c r="AF55" s="499"/>
    </row>
    <row r="56" spans="2:32" ht="28" customHeight="1" x14ac:dyDescent="0.3">
      <c r="B56" s="110"/>
      <c r="C56" s="575" t="s">
        <v>134</v>
      </c>
      <c r="D56" s="576"/>
      <c r="E56" s="576"/>
      <c r="F56" s="576"/>
      <c r="G56" s="576"/>
      <c r="H56" s="576"/>
      <c r="I56" s="576"/>
      <c r="J56" s="576"/>
      <c r="K56" s="118"/>
      <c r="L56" s="25"/>
      <c r="M56" s="390"/>
      <c r="N56" s="74"/>
      <c r="O56" s="76"/>
      <c r="P56" s="77"/>
      <c r="Q56" s="76"/>
      <c r="R56" s="77"/>
      <c r="S56" s="76"/>
      <c r="T56" s="76"/>
      <c r="U56" s="77"/>
      <c r="V56" s="77"/>
      <c r="Y56" s="499" t="s">
        <v>169</v>
      </c>
      <c r="Z56" s="504">
        <v>43092</v>
      </c>
      <c r="AA56" s="499" t="s">
        <v>170</v>
      </c>
      <c r="AB56" s="499"/>
      <c r="AC56" s="499"/>
      <c r="AD56" s="499"/>
      <c r="AE56" s="499"/>
      <c r="AF56" s="499"/>
    </row>
    <row r="57" spans="2:32" ht="16" customHeight="1" thickBot="1" x14ac:dyDescent="0.35">
      <c r="B57" s="110"/>
      <c r="D57" s="11"/>
      <c r="E57" s="103" t="s">
        <v>131</v>
      </c>
      <c r="F57" s="11"/>
      <c r="G57" s="25"/>
      <c r="H57" s="11"/>
      <c r="I57" s="11"/>
      <c r="J57" s="25"/>
      <c r="K57" s="118"/>
      <c r="L57" s="25"/>
      <c r="M57" s="75"/>
      <c r="N57" s="103"/>
      <c r="O57" s="74"/>
      <c r="P57" s="76"/>
      <c r="Q57" s="76"/>
      <c r="R57" s="77"/>
      <c r="S57" s="76"/>
      <c r="T57" s="76"/>
      <c r="U57" s="77"/>
      <c r="V57" s="77"/>
      <c r="Y57" s="499" t="s">
        <v>159</v>
      </c>
      <c r="Z57" s="504"/>
      <c r="AA57" s="517" t="s">
        <v>165</v>
      </c>
      <c r="AB57" s="499"/>
      <c r="AC57" s="499"/>
      <c r="AD57" s="499"/>
      <c r="AE57" s="499"/>
      <c r="AF57" s="499"/>
    </row>
    <row r="58" spans="2:32" s="8" customFormat="1" ht="16" customHeight="1" thickBot="1" x14ac:dyDescent="0.35">
      <c r="B58" s="114"/>
      <c r="C58" s="596"/>
      <c r="D58" s="596"/>
      <c r="E58" s="578" t="s">
        <v>70</v>
      </c>
      <c r="F58" s="579"/>
      <c r="G58" s="493">
        <f>Y65</f>
        <v>0</v>
      </c>
      <c r="H58" s="578" t="s">
        <v>71</v>
      </c>
      <c r="I58" s="579"/>
      <c r="J58" s="493">
        <f>AA62</f>
        <v>0</v>
      </c>
      <c r="K58" s="115"/>
      <c r="L58" s="106"/>
      <c r="M58" s="28"/>
      <c r="N58" s="658"/>
      <c r="O58" s="658"/>
      <c r="P58" s="658"/>
      <c r="Q58" s="658"/>
      <c r="R58" s="385"/>
      <c r="S58" s="658"/>
      <c r="T58" s="658"/>
      <c r="U58" s="385"/>
      <c r="V58" s="28"/>
      <c r="W58" s="35"/>
      <c r="X58" s="7"/>
      <c r="Y58" s="499">
        <f>IF(T3="綾川町・まんのう町",0,SUM(G30:G33))</f>
        <v>0</v>
      </c>
      <c r="Z58" s="504">
        <v>43062</v>
      </c>
      <c r="AA58" s="499">
        <f>IF(T3="直島町",0,J10)</f>
        <v>0</v>
      </c>
      <c r="AB58" s="511"/>
      <c r="AC58" s="511"/>
      <c r="AD58" s="511"/>
      <c r="AE58" s="511"/>
      <c r="AF58" s="511"/>
    </row>
    <row r="59" spans="2:32" s="8" customFormat="1" ht="16" customHeight="1" x14ac:dyDescent="0.3">
      <c r="B59" s="114"/>
      <c r="C59" s="595"/>
      <c r="D59" s="595"/>
      <c r="E59" s="574" t="s">
        <v>63</v>
      </c>
      <c r="F59" s="574"/>
      <c r="G59" s="498">
        <f>AA11-G60</f>
        <v>7</v>
      </c>
      <c r="H59" s="574" t="s">
        <v>65</v>
      </c>
      <c r="I59" s="574"/>
      <c r="J59" s="498">
        <f>AA14-J60</f>
        <v>13</v>
      </c>
      <c r="K59" s="119"/>
      <c r="L59" s="58"/>
      <c r="M59" s="28"/>
      <c r="N59" s="619"/>
      <c r="O59" s="619"/>
      <c r="P59" s="619"/>
      <c r="Q59" s="619"/>
      <c r="R59" s="58"/>
      <c r="S59" s="619"/>
      <c r="T59" s="619"/>
      <c r="U59" s="58"/>
      <c r="V59" s="28"/>
      <c r="W59" s="35"/>
      <c r="X59" s="7"/>
      <c r="Y59" s="499" t="s">
        <v>163</v>
      </c>
      <c r="Z59" s="504"/>
      <c r="AA59" s="499" t="s">
        <v>172</v>
      </c>
      <c r="AB59" s="511"/>
      <c r="AC59" s="511"/>
      <c r="AD59" s="511"/>
      <c r="AE59" s="511"/>
      <c r="AF59" s="511"/>
    </row>
    <row r="60" spans="2:32" s="8" customFormat="1" ht="16" customHeight="1" x14ac:dyDescent="0.3">
      <c r="B60" s="114"/>
      <c r="C60" s="595"/>
      <c r="D60" s="595"/>
      <c r="E60" s="574" t="s">
        <v>64</v>
      </c>
      <c r="F60" s="574"/>
      <c r="G60" s="494">
        <f>Y16</f>
        <v>0</v>
      </c>
      <c r="H60" s="574" t="s">
        <v>66</v>
      </c>
      <c r="I60" s="574"/>
      <c r="J60" s="494">
        <f>AA26</f>
        <v>0</v>
      </c>
      <c r="K60" s="119"/>
      <c r="L60" s="58"/>
      <c r="M60" s="28"/>
      <c r="N60" s="619"/>
      <c r="O60" s="619"/>
      <c r="P60" s="619"/>
      <c r="Q60" s="619"/>
      <c r="R60" s="58"/>
      <c r="S60" s="619"/>
      <c r="T60" s="619"/>
      <c r="U60" s="58"/>
      <c r="V60" s="28"/>
      <c r="W60" s="35"/>
      <c r="X60" s="7"/>
      <c r="Y60" s="516">
        <f>SUM(G34:G40)</f>
        <v>0</v>
      </c>
      <c r="Z60" s="504"/>
      <c r="AA60" s="516">
        <f>SUM(J11:J22)</f>
        <v>0</v>
      </c>
      <c r="AB60" s="511"/>
      <c r="AC60" s="511"/>
      <c r="AD60" s="511"/>
      <c r="AE60" s="511"/>
      <c r="AF60" s="511"/>
    </row>
    <row r="61" spans="2:32" ht="16" customHeight="1" x14ac:dyDescent="0.3">
      <c r="B61" s="110"/>
      <c r="C61" s="324"/>
      <c r="D61" s="324"/>
      <c r="E61" s="569" t="s">
        <v>133</v>
      </c>
      <c r="F61" s="570"/>
      <c r="G61" s="570"/>
      <c r="H61" s="570"/>
      <c r="I61" s="571"/>
      <c r="J61" s="496">
        <f>G58+J58</f>
        <v>0</v>
      </c>
      <c r="K61" s="163"/>
      <c r="L61" s="37"/>
      <c r="M61" s="74"/>
      <c r="N61" s="323"/>
      <c r="O61" s="323"/>
      <c r="P61" s="656"/>
      <c r="Q61" s="657"/>
      <c r="R61" s="657"/>
      <c r="S61" s="657"/>
      <c r="T61" s="657"/>
      <c r="U61" s="386"/>
      <c r="V61" s="377"/>
      <c r="Y61" s="517" t="s">
        <v>171</v>
      </c>
      <c r="Z61" s="504">
        <v>43142</v>
      </c>
      <c r="AA61" s="517" t="s">
        <v>171</v>
      </c>
      <c r="AB61" s="499"/>
      <c r="AC61" s="499"/>
      <c r="AD61" s="499"/>
      <c r="AE61" s="499"/>
      <c r="AF61" s="499"/>
    </row>
    <row r="62" spans="2:32" ht="16" customHeight="1" x14ac:dyDescent="0.3">
      <c r="B62" s="110"/>
      <c r="C62" s="324"/>
      <c r="D62" s="324"/>
      <c r="E62" s="569" t="s">
        <v>151</v>
      </c>
      <c r="F62" s="570"/>
      <c r="G62" s="570"/>
      <c r="H62" s="570"/>
      <c r="I62" s="571"/>
      <c r="J62" s="497">
        <f>G59+J59</f>
        <v>20</v>
      </c>
      <c r="K62" s="163"/>
      <c r="L62" s="37"/>
      <c r="M62" s="74"/>
      <c r="N62" s="323"/>
      <c r="O62" s="323"/>
      <c r="P62" s="656"/>
      <c r="Q62" s="657"/>
      <c r="R62" s="657"/>
      <c r="S62" s="657"/>
      <c r="T62" s="657"/>
      <c r="U62" s="387"/>
      <c r="V62" s="377"/>
      <c r="Y62" s="518">
        <f>Y58+Y60</f>
        <v>0</v>
      </c>
      <c r="Z62" s="504">
        <v>43142</v>
      </c>
      <c r="AA62" s="518">
        <f>AA58+AA60</f>
        <v>0</v>
      </c>
      <c r="AB62" s="499"/>
      <c r="AC62" s="499"/>
      <c r="AD62" s="499"/>
      <c r="AE62" s="499"/>
      <c r="AF62" s="499"/>
    </row>
    <row r="63" spans="2:32" ht="16" customHeight="1" x14ac:dyDescent="0.3">
      <c r="B63" s="110"/>
      <c r="C63" s="324"/>
      <c r="D63" s="324"/>
      <c r="E63" s="569" t="s">
        <v>107</v>
      </c>
      <c r="F63" s="570"/>
      <c r="G63" s="570"/>
      <c r="H63" s="570"/>
      <c r="I63" s="571"/>
      <c r="J63" s="497">
        <f>ROUNDUP(J61/J62,0)</f>
        <v>0</v>
      </c>
      <c r="K63" s="163" t="s">
        <v>80</v>
      </c>
      <c r="L63" s="37"/>
      <c r="M63" s="74"/>
      <c r="N63" s="323"/>
      <c r="O63" s="323"/>
      <c r="P63" s="656"/>
      <c r="Q63" s="657"/>
      <c r="R63" s="657"/>
      <c r="S63" s="657"/>
      <c r="T63" s="657"/>
      <c r="U63" s="387"/>
      <c r="V63" s="377"/>
      <c r="Y63" s="517" t="s">
        <v>165</v>
      </c>
      <c r="Z63" s="504">
        <v>43142</v>
      </c>
      <c r="AA63" s="499"/>
      <c r="AB63" s="499"/>
      <c r="AC63" s="499"/>
      <c r="AD63" s="499"/>
      <c r="AE63" s="499"/>
      <c r="AF63" s="499"/>
    </row>
    <row r="64" spans="2:32" ht="16" customHeight="1" thickBot="1" x14ac:dyDescent="0.35">
      <c r="B64" s="126"/>
      <c r="C64" s="127"/>
      <c r="D64" s="127"/>
      <c r="E64" s="127"/>
      <c r="F64" s="127"/>
      <c r="G64" s="128"/>
      <c r="H64" s="127"/>
      <c r="I64" s="127"/>
      <c r="J64" s="128" t="s">
        <v>8</v>
      </c>
      <c r="K64" s="129"/>
      <c r="L64" s="199"/>
      <c r="M64" s="74"/>
      <c r="N64" s="74"/>
      <c r="O64" s="74"/>
      <c r="P64" s="74"/>
      <c r="Q64" s="74"/>
      <c r="R64" s="78"/>
      <c r="S64" s="74"/>
      <c r="T64" s="74"/>
      <c r="U64" s="78"/>
      <c r="V64" s="74"/>
      <c r="Y64" s="499">
        <f>IF(T3="直島町",0,1)</f>
        <v>1</v>
      </c>
      <c r="Z64" s="504">
        <v>43219</v>
      </c>
      <c r="AA64" s="499"/>
      <c r="AB64" s="499"/>
      <c r="AC64" s="499"/>
      <c r="AD64" s="499"/>
      <c r="AE64" s="499"/>
      <c r="AF64" s="499"/>
    </row>
    <row r="65" spans="25:32" ht="8.5" customHeight="1" x14ac:dyDescent="0.3">
      <c r="Y65" s="499">
        <f>Y62*Y64</f>
        <v>0</v>
      </c>
      <c r="Z65" s="504">
        <v>43220</v>
      </c>
      <c r="AA65" s="499"/>
      <c r="AB65" s="499"/>
      <c r="AC65" s="499"/>
      <c r="AD65" s="499"/>
      <c r="AE65" s="499"/>
      <c r="AF65" s="499"/>
    </row>
    <row r="66" spans="25:32" x14ac:dyDescent="0.3">
      <c r="Y66" s="499"/>
      <c r="Z66" s="504">
        <v>43223</v>
      </c>
      <c r="AA66" s="499"/>
      <c r="AB66" s="499"/>
      <c r="AC66" s="499"/>
      <c r="AD66" s="499"/>
      <c r="AE66" s="499"/>
      <c r="AF66" s="499"/>
    </row>
    <row r="67" spans="25:32" x14ac:dyDescent="0.3">
      <c r="Z67" s="17">
        <v>43224</v>
      </c>
    </row>
    <row r="68" spans="25:32" x14ac:dyDescent="0.3">
      <c r="Z68" s="17">
        <v>43225</v>
      </c>
    </row>
    <row r="69" spans="25:32" x14ac:dyDescent="0.3">
      <c r="Z69" s="17">
        <v>43297</v>
      </c>
    </row>
    <row r="70" spans="25:32" x14ac:dyDescent="0.3">
      <c r="Z70" s="17">
        <v>43323</v>
      </c>
    </row>
    <row r="71" spans="25:32" x14ac:dyDescent="0.3">
      <c r="Z71" s="17">
        <v>43360</v>
      </c>
    </row>
    <row r="72" spans="25:32" x14ac:dyDescent="0.3">
      <c r="Z72" s="17">
        <v>43366</v>
      </c>
    </row>
    <row r="73" spans="25:32" x14ac:dyDescent="0.3">
      <c r="Z73" s="17">
        <v>43367</v>
      </c>
    </row>
    <row r="74" spans="25:32" x14ac:dyDescent="0.3">
      <c r="Z74" s="17">
        <v>43381</v>
      </c>
    </row>
    <row r="75" spans="25:32" x14ac:dyDescent="0.3">
      <c r="Z75" s="17">
        <v>43407</v>
      </c>
    </row>
    <row r="76" spans="25:32" x14ac:dyDescent="0.3">
      <c r="Z76" s="17">
        <v>43427</v>
      </c>
    </row>
    <row r="77" spans="25:32" x14ac:dyDescent="0.3">
      <c r="Z77" s="17">
        <v>43457</v>
      </c>
    </row>
    <row r="78" spans="25:32" x14ac:dyDescent="0.3">
      <c r="Z78" s="17">
        <v>43458</v>
      </c>
    </row>
    <row r="79" spans="25:32" x14ac:dyDescent="0.3">
      <c r="Z79" s="18">
        <v>43466</v>
      </c>
    </row>
    <row r="80" spans="25:32" x14ac:dyDescent="0.3">
      <c r="Z80" s="18">
        <v>43479</v>
      </c>
    </row>
    <row r="81" spans="26:26" x14ac:dyDescent="0.3">
      <c r="Z81" s="18">
        <v>43507</v>
      </c>
    </row>
    <row r="82" spans="26:26" x14ac:dyDescent="0.3">
      <c r="Z82" s="18">
        <v>43545</v>
      </c>
    </row>
    <row r="83" spans="26:26" x14ac:dyDescent="0.3">
      <c r="Z83" s="18">
        <v>43584</v>
      </c>
    </row>
    <row r="84" spans="26:26" x14ac:dyDescent="0.3">
      <c r="Z84" s="18">
        <v>43588</v>
      </c>
    </row>
    <row r="85" spans="26:26" x14ac:dyDescent="0.3">
      <c r="Z85" s="18">
        <v>43589</v>
      </c>
    </row>
    <row r="86" spans="26:26" x14ac:dyDescent="0.3">
      <c r="Z86" s="18">
        <v>43590</v>
      </c>
    </row>
    <row r="87" spans="26:26" x14ac:dyDescent="0.3">
      <c r="Z87" s="18">
        <v>43591</v>
      </c>
    </row>
    <row r="88" spans="26:26" x14ac:dyDescent="0.3">
      <c r="Z88" s="18">
        <v>43661</v>
      </c>
    </row>
    <row r="89" spans="26:26" x14ac:dyDescent="0.3">
      <c r="Z89" s="18">
        <v>43688</v>
      </c>
    </row>
    <row r="90" spans="26:26" x14ac:dyDescent="0.3">
      <c r="Z90" s="18">
        <v>43689</v>
      </c>
    </row>
    <row r="91" spans="26:26" x14ac:dyDescent="0.3">
      <c r="Z91" s="18">
        <v>43724</v>
      </c>
    </row>
    <row r="92" spans="26:26" x14ac:dyDescent="0.3">
      <c r="Z92" s="18">
        <v>43731</v>
      </c>
    </row>
    <row r="93" spans="26:26" x14ac:dyDescent="0.3">
      <c r="Z93" s="18">
        <v>43752</v>
      </c>
    </row>
    <row r="94" spans="26:26" x14ac:dyDescent="0.3">
      <c r="Z94" s="18">
        <v>43772</v>
      </c>
    </row>
    <row r="95" spans="26:26" x14ac:dyDescent="0.3">
      <c r="Z95" s="18">
        <v>43773</v>
      </c>
    </row>
    <row r="96" spans="26:26" x14ac:dyDescent="0.3">
      <c r="Z96" s="18">
        <v>43792</v>
      </c>
    </row>
    <row r="97" spans="26:26" x14ac:dyDescent="0.3">
      <c r="Z97" s="18">
        <v>43822</v>
      </c>
    </row>
    <row r="98" spans="26:26" x14ac:dyDescent="0.3">
      <c r="Z98" s="18">
        <v>43831</v>
      </c>
    </row>
    <row r="99" spans="26:26" x14ac:dyDescent="0.3">
      <c r="Z99" s="18">
        <v>43843</v>
      </c>
    </row>
    <row r="100" spans="26:26" x14ac:dyDescent="0.3">
      <c r="Z100" s="18">
        <v>43872</v>
      </c>
    </row>
    <row r="101" spans="26:26" x14ac:dyDescent="0.3">
      <c r="Z101" s="18">
        <v>43885</v>
      </c>
    </row>
    <row r="102" spans="26:26" x14ac:dyDescent="0.3">
      <c r="Z102" s="18">
        <v>43910</v>
      </c>
    </row>
    <row r="103" spans="26:26" x14ac:dyDescent="0.3">
      <c r="Z103" s="18">
        <v>43950</v>
      </c>
    </row>
    <row r="104" spans="26:26" x14ac:dyDescent="0.3">
      <c r="Z104" s="18">
        <v>43954</v>
      </c>
    </row>
    <row r="105" spans="26:26" x14ac:dyDescent="0.3">
      <c r="Z105" s="18">
        <v>43955</v>
      </c>
    </row>
    <row r="106" spans="26:26" x14ac:dyDescent="0.3">
      <c r="Z106" s="18">
        <v>43956</v>
      </c>
    </row>
    <row r="107" spans="26:26" x14ac:dyDescent="0.3">
      <c r="Z107" s="18">
        <v>43957</v>
      </c>
    </row>
    <row r="108" spans="26:26" x14ac:dyDescent="0.3">
      <c r="Z108" s="18">
        <v>44035</v>
      </c>
    </row>
    <row r="109" spans="26:26" x14ac:dyDescent="0.3">
      <c r="Z109" s="18">
        <v>44036</v>
      </c>
    </row>
    <row r="110" spans="26:26" x14ac:dyDescent="0.3">
      <c r="Z110" s="18">
        <v>44053</v>
      </c>
    </row>
    <row r="111" spans="26:26" x14ac:dyDescent="0.3">
      <c r="Z111" s="18">
        <v>44095</v>
      </c>
    </row>
    <row r="112" spans="26:26" x14ac:dyDescent="0.3">
      <c r="Z112" s="18">
        <v>44096</v>
      </c>
    </row>
    <row r="113" spans="26:26" x14ac:dyDescent="0.3">
      <c r="Z113" s="18">
        <v>44138</v>
      </c>
    </row>
    <row r="114" spans="26:26" x14ac:dyDescent="0.3">
      <c r="Z114" s="18">
        <v>44158</v>
      </c>
    </row>
    <row r="115" spans="26:26" x14ac:dyDescent="0.3">
      <c r="Z115" s="18">
        <v>44197</v>
      </c>
    </row>
    <row r="116" spans="26:26" x14ac:dyDescent="0.3">
      <c r="Z116" s="18">
        <v>44207</v>
      </c>
    </row>
    <row r="117" spans="26:26" x14ac:dyDescent="0.3">
      <c r="Z117" s="18">
        <v>44238</v>
      </c>
    </row>
    <row r="118" spans="26:26" x14ac:dyDescent="0.3">
      <c r="Z118" s="18">
        <v>44250</v>
      </c>
    </row>
    <row r="119" spans="26:26" x14ac:dyDescent="0.3">
      <c r="Z119" s="18">
        <v>44275</v>
      </c>
    </row>
    <row r="120" spans="26:26" x14ac:dyDescent="0.3">
      <c r="Z120" s="18">
        <v>44315</v>
      </c>
    </row>
    <row r="121" spans="26:26" x14ac:dyDescent="0.3">
      <c r="Z121" s="18">
        <v>44319</v>
      </c>
    </row>
    <row r="122" spans="26:26" x14ac:dyDescent="0.3">
      <c r="Z122" s="18">
        <v>44320</v>
      </c>
    </row>
    <row r="123" spans="26:26" x14ac:dyDescent="0.3">
      <c r="Z123" s="18">
        <v>44321</v>
      </c>
    </row>
    <row r="124" spans="26:26" x14ac:dyDescent="0.3">
      <c r="Z124" s="18">
        <v>44396</v>
      </c>
    </row>
    <row r="125" spans="26:26" x14ac:dyDescent="0.3">
      <c r="Z125" s="18">
        <v>44419</v>
      </c>
    </row>
    <row r="126" spans="26:26" x14ac:dyDescent="0.3">
      <c r="Z126" s="18">
        <v>44459</v>
      </c>
    </row>
    <row r="127" spans="26:26" x14ac:dyDescent="0.3">
      <c r="Z127" s="18">
        <v>44462</v>
      </c>
    </row>
    <row r="128" spans="26:26" x14ac:dyDescent="0.3">
      <c r="Z128" s="18">
        <v>44480</v>
      </c>
    </row>
    <row r="129" spans="26:26" x14ac:dyDescent="0.3">
      <c r="Z129" s="18">
        <v>44503</v>
      </c>
    </row>
    <row r="130" spans="26:26" x14ac:dyDescent="0.3">
      <c r="Z130" s="18">
        <v>44523</v>
      </c>
    </row>
    <row r="131" spans="26:26" x14ac:dyDescent="0.3">
      <c r="Z131" s="18">
        <v>44562</v>
      </c>
    </row>
    <row r="132" spans="26:26" x14ac:dyDescent="0.3">
      <c r="Z132" s="18">
        <v>44571</v>
      </c>
    </row>
    <row r="133" spans="26:26" x14ac:dyDescent="0.3">
      <c r="Z133" s="18">
        <v>44603</v>
      </c>
    </row>
    <row r="134" spans="26:26" x14ac:dyDescent="0.3">
      <c r="Z134" s="18">
        <v>44615</v>
      </c>
    </row>
    <row r="135" spans="26:26" x14ac:dyDescent="0.3">
      <c r="Z135" s="18">
        <v>44641</v>
      </c>
    </row>
    <row r="136" spans="26:26" x14ac:dyDescent="0.3">
      <c r="Z136" s="18">
        <v>44680</v>
      </c>
    </row>
    <row r="137" spans="26:26" x14ac:dyDescent="0.3">
      <c r="Z137" s="18">
        <v>44684</v>
      </c>
    </row>
    <row r="138" spans="26:26" x14ac:dyDescent="0.3">
      <c r="Z138" s="18">
        <v>44685</v>
      </c>
    </row>
    <row r="139" spans="26:26" x14ac:dyDescent="0.3">
      <c r="Z139" s="18">
        <v>44686</v>
      </c>
    </row>
    <row r="140" spans="26:26" x14ac:dyDescent="0.3">
      <c r="Z140" s="18">
        <v>44760</v>
      </c>
    </row>
    <row r="141" spans="26:26" x14ac:dyDescent="0.3">
      <c r="Z141" s="18">
        <v>44784</v>
      </c>
    </row>
    <row r="142" spans="26:26" x14ac:dyDescent="0.3">
      <c r="Z142" s="18">
        <v>44823</v>
      </c>
    </row>
    <row r="143" spans="26:26" x14ac:dyDescent="0.3">
      <c r="Z143" s="18">
        <v>44827</v>
      </c>
    </row>
    <row r="144" spans="26:26" x14ac:dyDescent="0.3">
      <c r="Z144" s="18">
        <v>44844</v>
      </c>
    </row>
    <row r="145" spans="26:26" x14ac:dyDescent="0.3">
      <c r="Z145" s="18">
        <v>44868</v>
      </c>
    </row>
    <row r="146" spans="26:26" x14ac:dyDescent="0.3">
      <c r="Z146" s="18">
        <v>44888</v>
      </c>
    </row>
    <row r="147" spans="26:26" x14ac:dyDescent="0.3">
      <c r="Z147" s="18"/>
    </row>
  </sheetData>
  <sheetProtection algorithmName="SHA-512" hashValue="eXbZBKHWZ7hqc2YSGBJQMMLKtVDJo11clVq9Sn27wOT1ZUnuKk78umIcYX2TbOH4kClkVv+RB5yLw9k6q0NatA==" saltValue="s4IwRyIOe6nn443ZzgKf3w==" spinCount="100000" sheet="1" objects="1" scenarios="1"/>
  <mergeCells count="56">
    <mergeCell ref="S48:T48"/>
    <mergeCell ref="A1:W1"/>
    <mergeCell ref="C5:G5"/>
    <mergeCell ref="C8:D8"/>
    <mergeCell ref="E8:G8"/>
    <mergeCell ref="H8:J8"/>
    <mergeCell ref="N7:U43"/>
    <mergeCell ref="C48:D48"/>
    <mergeCell ref="E48:F48"/>
    <mergeCell ref="H48:I48"/>
    <mergeCell ref="N48:O48"/>
    <mergeCell ref="P48:Q48"/>
    <mergeCell ref="T3:W3"/>
    <mergeCell ref="S50:T50"/>
    <mergeCell ref="C49:D49"/>
    <mergeCell ref="E49:F49"/>
    <mergeCell ref="H49:I49"/>
    <mergeCell ref="N49:O49"/>
    <mergeCell ref="P49:Q49"/>
    <mergeCell ref="S49:T49"/>
    <mergeCell ref="C50:D50"/>
    <mergeCell ref="E50:F50"/>
    <mergeCell ref="H50:I50"/>
    <mergeCell ref="N50:O50"/>
    <mergeCell ref="P50:Q50"/>
    <mergeCell ref="S58:T58"/>
    <mergeCell ref="E51:I51"/>
    <mergeCell ref="P51:T51"/>
    <mergeCell ref="E52:I52"/>
    <mergeCell ref="P52:T52"/>
    <mergeCell ref="E53:I53"/>
    <mergeCell ref="P53:T53"/>
    <mergeCell ref="C56:J56"/>
    <mergeCell ref="C58:D58"/>
    <mergeCell ref="E58:F58"/>
    <mergeCell ref="H58:I58"/>
    <mergeCell ref="N58:O58"/>
    <mergeCell ref="P58:Q58"/>
    <mergeCell ref="S60:T60"/>
    <mergeCell ref="C59:D59"/>
    <mergeCell ref="E59:F59"/>
    <mergeCell ref="H59:I59"/>
    <mergeCell ref="N59:O59"/>
    <mergeCell ref="P59:Q59"/>
    <mergeCell ref="S59:T59"/>
    <mergeCell ref="C60:D60"/>
    <mergeCell ref="E60:F60"/>
    <mergeCell ref="H60:I60"/>
    <mergeCell ref="N60:O60"/>
    <mergeCell ref="P60:Q60"/>
    <mergeCell ref="E61:I61"/>
    <mergeCell ref="P61:T61"/>
    <mergeCell ref="E62:I62"/>
    <mergeCell ref="P62:T62"/>
    <mergeCell ref="E63:I63"/>
    <mergeCell ref="P63:T63"/>
  </mergeCells>
  <phoneticPr fontId="1"/>
  <conditionalFormatting sqref="C10:C38 C40:C41">
    <cfRule type="expression" dxfId="33" priority="60">
      <formula>TEXT(C10,"aaa")="土"</formula>
    </cfRule>
  </conditionalFormatting>
  <conditionalFormatting sqref="C10:C38 C40:C41">
    <cfRule type="expression" dxfId="32" priority="59">
      <formula>TEXT(C10,"aaa")="日"</formula>
    </cfRule>
  </conditionalFormatting>
  <conditionalFormatting sqref="E40 E10:E38">
    <cfRule type="expression" dxfId="31" priority="58">
      <formula>TEXT(E10,"aaa")="土"</formula>
    </cfRule>
  </conditionalFormatting>
  <conditionalFormatting sqref="E40 E10:E38">
    <cfRule type="expression" dxfId="30" priority="57">
      <formula>TEXT(E10,"aaa")="日"</formula>
    </cfRule>
  </conditionalFormatting>
  <conditionalFormatting sqref="E40 E10:E38 H10:H37">
    <cfRule type="expression" dxfId="29" priority="61">
      <formula>COUNTIF($AM$9:$AM$130,$P10)</formula>
    </cfRule>
  </conditionalFormatting>
  <conditionalFormatting sqref="C10:C41">
    <cfRule type="expression" dxfId="28" priority="62">
      <formula>COUNTIF($AM$9:$AM$130,$N10)</formula>
    </cfRule>
  </conditionalFormatting>
  <conditionalFormatting sqref="D41:G41">
    <cfRule type="expression" dxfId="27" priority="43">
      <formula>TEXT(D41,"aaa")="土"</formula>
    </cfRule>
  </conditionalFormatting>
  <conditionalFormatting sqref="D41:G41">
    <cfRule type="expression" dxfId="26" priority="42">
      <formula>TEXT(D41,"aaa")="日"</formula>
    </cfRule>
  </conditionalFormatting>
  <conditionalFormatting sqref="D41:G41">
    <cfRule type="expression" dxfId="25" priority="44">
      <formula>COUNTIF($AM$9:$AM$130,$N41)</formula>
    </cfRule>
  </conditionalFormatting>
  <conditionalFormatting sqref="H10:H37">
    <cfRule type="expression" dxfId="24" priority="37">
      <formula>TEXT(H10,"aaa")="土"</formula>
    </cfRule>
  </conditionalFormatting>
  <conditionalFormatting sqref="H10:H37">
    <cfRule type="expression" dxfId="23" priority="36">
      <formula>TEXT(H10,"aaa")="日"</formula>
    </cfRule>
  </conditionalFormatting>
  <conditionalFormatting sqref="H41:J41">
    <cfRule type="expression" dxfId="22" priority="34">
      <formula>TEXT(H41,"aaa")="土"</formula>
    </cfRule>
  </conditionalFormatting>
  <conditionalFormatting sqref="H41:J41">
    <cfRule type="expression" dxfId="21" priority="33">
      <formula>TEXT(H41,"aaa")="日"</formula>
    </cfRule>
  </conditionalFormatting>
  <conditionalFormatting sqref="H41:J41">
    <cfRule type="expression" dxfId="20" priority="35">
      <formula>COUNTIF($AM$9:$AM$130,$N41)</formula>
    </cfRule>
  </conditionalFormatting>
  <conditionalFormatting sqref="C39">
    <cfRule type="expression" dxfId="19" priority="25">
      <formula>TEXT(C39,"aaa")="土"</formula>
    </cfRule>
  </conditionalFormatting>
  <conditionalFormatting sqref="C39">
    <cfRule type="expression" dxfId="18" priority="24">
      <formula>TEXT(C39,"aaa")="日"</formula>
    </cfRule>
  </conditionalFormatting>
  <conditionalFormatting sqref="E39">
    <cfRule type="expression" dxfId="17" priority="14">
      <formula>TEXT(E39,"aaa")="土"</formula>
    </cfRule>
  </conditionalFormatting>
  <conditionalFormatting sqref="E39">
    <cfRule type="expression" dxfId="16" priority="13">
      <formula>TEXT(E39,"aaa")="日"</formula>
    </cfRule>
  </conditionalFormatting>
  <conditionalFormatting sqref="E39">
    <cfRule type="expression" dxfId="15" priority="15">
      <formula>COUNTIF($AM$9:$AM$130,$P39)</formula>
    </cfRule>
  </conditionalFormatting>
  <dataValidations count="2">
    <dataValidation type="list" allowBlank="1" showInputMessage="1" showErrorMessage="1" sqref="D10:D40 F10:F40 I10:I37">
      <formula1>"○"</formula1>
    </dataValidation>
    <dataValidation type="list" allowBlank="1" showInputMessage="1" showErrorMessage="1" sqref="T3">
      <formula1>"綾川町・まんのう町・直島町　以外,綾川町・まんのう町,直島町"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headerFooter>
    <oddFooter xml:space="preserve">&amp;C&amp;"Century,標準"
</oddFooter>
  </headerFooter>
  <colBreaks count="1" manualBreakCount="1">
    <brk id="2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66FFFF"/>
    <pageSetUpPr fitToPage="1"/>
  </sheetPr>
  <dimension ref="A1:AF148"/>
  <sheetViews>
    <sheetView showGridLines="0" view="pageBreakPreview" zoomScale="69" zoomScaleNormal="75" zoomScaleSheetLayoutView="69" workbookViewId="0">
      <selection activeCell="S9" sqref="S9"/>
    </sheetView>
  </sheetViews>
  <sheetFormatPr defaultColWidth="9" defaultRowHeight="13.5" x14ac:dyDescent="0.3"/>
  <cols>
    <col min="1" max="1" width="1.58203125" style="1" customWidth="1"/>
    <col min="2" max="2" width="1.08203125" style="1" customWidth="1"/>
    <col min="3" max="3" width="4.33203125" style="1" customWidth="1"/>
    <col min="4" max="4" width="2.08203125" style="1" customWidth="1"/>
    <col min="5" max="5" width="9.58203125" style="1" customWidth="1"/>
    <col min="6" max="6" width="5.33203125" style="1" customWidth="1"/>
    <col min="7" max="7" width="12.08203125" style="1" customWidth="1"/>
    <col min="8" max="8" width="9.58203125" style="1" customWidth="1"/>
    <col min="9" max="9" width="5.33203125" style="1" customWidth="1"/>
    <col min="10" max="10" width="12.08203125" style="1" customWidth="1"/>
    <col min="11" max="11" width="4.33203125" style="1" customWidth="1"/>
    <col min="12" max="12" width="1.33203125" style="1" customWidth="1"/>
    <col min="13" max="13" width="1.08203125" style="1" customWidth="1"/>
    <col min="14" max="14" width="2.33203125" style="11" customWidth="1"/>
    <col min="15" max="15" width="3.33203125" style="11" customWidth="1"/>
    <col min="16" max="16" width="9.58203125" style="1" customWidth="1"/>
    <col min="17" max="17" width="10.58203125" style="1" customWidth="1"/>
    <col min="18" max="18" width="24" style="1" customWidth="1"/>
    <col min="19" max="19" width="8.33203125" style="1" customWidth="1"/>
    <col min="20" max="20" width="3" style="11" customWidth="1"/>
    <col min="21" max="21" width="0.83203125" style="1" customWidth="1"/>
    <col min="22" max="22" width="1.25" style="1" customWidth="1"/>
    <col min="23" max="23" width="1.33203125" style="1" customWidth="1"/>
    <col min="24" max="24" width="9.58203125" style="1" customWidth="1"/>
    <col min="25" max="25" width="10.58203125" style="1" customWidth="1"/>
    <col min="26" max="26" width="4.1640625" style="1" customWidth="1"/>
    <col min="27" max="27" width="0.75" style="1" customWidth="1"/>
    <col min="28" max="28" width="11.75" style="1" customWidth="1"/>
    <col min="29" max="29" width="0.58203125" style="16" customWidth="1"/>
    <col min="30" max="16384" width="9" style="1"/>
  </cols>
  <sheetData>
    <row r="1" spans="1:32" ht="22" x14ac:dyDescent="0.3">
      <c r="A1" s="588" t="s">
        <v>109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1"/>
      <c r="V1" s="16"/>
      <c r="X1" s="499"/>
      <c r="Y1" s="499"/>
      <c r="Z1" s="499"/>
      <c r="AA1" s="499"/>
      <c r="AB1" s="499"/>
      <c r="AC1" s="499"/>
      <c r="AD1" s="499"/>
      <c r="AE1" s="499"/>
      <c r="AF1" s="499"/>
    </row>
    <row r="2" spans="1:32" ht="27" customHeight="1" x14ac:dyDescent="0.3">
      <c r="C2" s="81" t="s">
        <v>15</v>
      </c>
      <c r="N2" s="1"/>
      <c r="O2" s="1"/>
      <c r="P2" s="82" t="s">
        <v>59</v>
      </c>
      <c r="Q2" s="11"/>
      <c r="T2" s="1"/>
      <c r="U2" s="11"/>
      <c r="W2" s="11"/>
      <c r="X2" s="499"/>
      <c r="Y2" s="499"/>
      <c r="Z2" s="499"/>
      <c r="AA2" s="499"/>
      <c r="AB2" s="499"/>
      <c r="AC2" s="499"/>
      <c r="AD2" s="499"/>
      <c r="AE2" s="500"/>
      <c r="AF2" s="499"/>
    </row>
    <row r="3" spans="1:32" ht="26.5" customHeight="1" thickBot="1" x14ac:dyDescent="0.35">
      <c r="C3" s="24" t="s">
        <v>2</v>
      </c>
      <c r="D3" s="24"/>
      <c r="P3" s="101" t="s">
        <v>1</v>
      </c>
      <c r="Q3" s="102"/>
      <c r="R3" s="102"/>
      <c r="S3" s="102"/>
      <c r="U3" s="11"/>
      <c r="V3" s="11"/>
      <c r="W3" s="11"/>
      <c r="X3" s="501" t="s">
        <v>161</v>
      </c>
      <c r="Y3" s="499"/>
      <c r="Z3" s="499" t="s">
        <v>162</v>
      </c>
      <c r="AA3" s="500"/>
      <c r="AB3" s="499"/>
      <c r="AC3" s="500"/>
      <c r="AD3" s="499"/>
      <c r="AE3" s="499"/>
      <c r="AF3" s="499"/>
    </row>
    <row r="4" spans="1:32" ht="9" customHeight="1" thickTop="1" thickBot="1" x14ac:dyDescent="0.35">
      <c r="B4" s="11"/>
      <c r="C4" s="192"/>
      <c r="D4" s="192"/>
      <c r="E4" s="11"/>
      <c r="F4" s="11"/>
      <c r="G4" s="11"/>
      <c r="H4" s="11"/>
      <c r="I4" s="11"/>
      <c r="J4" s="11"/>
      <c r="K4" s="11"/>
      <c r="P4" s="9"/>
      <c r="Q4" s="11"/>
      <c r="R4" s="11"/>
      <c r="S4" s="11"/>
      <c r="U4" s="11"/>
      <c r="V4" s="11"/>
      <c r="W4" s="11"/>
      <c r="X4" s="499">
        <f>IF(S7="直島町",0,31)</f>
        <v>31</v>
      </c>
      <c r="Y4" s="500"/>
      <c r="Z4" s="499"/>
      <c r="AA4" s="499"/>
      <c r="AB4" s="499"/>
      <c r="AC4" s="500"/>
      <c r="AD4" s="499"/>
      <c r="AE4" s="499"/>
      <c r="AF4" s="499"/>
    </row>
    <row r="5" spans="1:32" ht="24.65" customHeight="1" thickBot="1" x14ac:dyDescent="0.35">
      <c r="B5" s="193"/>
      <c r="C5" s="182" t="s">
        <v>90</v>
      </c>
      <c r="D5" s="182"/>
      <c r="E5" s="182"/>
      <c r="F5" s="182"/>
      <c r="G5" s="194"/>
      <c r="H5" s="182"/>
      <c r="I5" s="182"/>
      <c r="J5" s="194"/>
      <c r="K5" s="195"/>
      <c r="L5" s="2"/>
      <c r="M5" s="2"/>
      <c r="N5" s="10"/>
      <c r="O5" s="10"/>
      <c r="P5" s="10"/>
      <c r="Q5" s="10"/>
      <c r="R5" s="90"/>
      <c r="S5" s="11"/>
      <c r="X5" s="499"/>
      <c r="Y5" s="500"/>
      <c r="Z5" s="499"/>
      <c r="AA5" s="499"/>
      <c r="AB5" s="499"/>
      <c r="AC5" s="499"/>
      <c r="AD5" s="499"/>
      <c r="AE5" s="499"/>
      <c r="AF5" s="499"/>
    </row>
    <row r="6" spans="1:32" ht="14.15" customHeight="1" x14ac:dyDescent="0.3">
      <c r="B6" s="110"/>
      <c r="C6" s="190" t="e">
        <f>+DATE(C5,4,1)</f>
        <v>#VALUE!</v>
      </c>
      <c r="D6" s="190"/>
      <c r="E6" s="10"/>
      <c r="F6" s="10"/>
      <c r="G6" s="10"/>
      <c r="H6" s="10"/>
      <c r="I6" s="10"/>
      <c r="J6" s="10"/>
      <c r="K6" s="189"/>
      <c r="L6" s="2"/>
      <c r="M6" s="10"/>
      <c r="N6" s="10"/>
      <c r="O6" s="10"/>
      <c r="P6" s="10"/>
      <c r="Q6" s="10"/>
      <c r="R6" s="90"/>
      <c r="S6" s="11"/>
      <c r="V6" s="11"/>
      <c r="X6" s="499" t="s">
        <v>177</v>
      </c>
      <c r="Y6" s="500"/>
      <c r="Z6" s="499">
        <f>IF(S7="綾川町・まんのう町・直島町　以外",4,0)</f>
        <v>0</v>
      </c>
      <c r="AA6" s="499" t="s">
        <v>164</v>
      </c>
      <c r="AB6" s="499"/>
      <c r="AC6" s="499"/>
      <c r="AD6" s="499"/>
      <c r="AE6" s="499"/>
      <c r="AF6" s="499"/>
    </row>
    <row r="7" spans="1:32" s="6" customFormat="1" ht="20.149999999999999" customHeight="1" x14ac:dyDescent="0.3">
      <c r="B7" s="111"/>
      <c r="C7" s="597"/>
      <c r="D7" s="597"/>
      <c r="E7" s="592">
        <f>DATE(2022,1,1)</f>
        <v>44562</v>
      </c>
      <c r="F7" s="593"/>
      <c r="G7" s="611"/>
      <c r="H7" s="592">
        <f>DATE(2022,2,1)</f>
        <v>44593</v>
      </c>
      <c r="I7" s="593"/>
      <c r="J7" s="594"/>
      <c r="K7" s="169"/>
      <c r="L7" s="379"/>
      <c r="M7" s="379"/>
      <c r="N7" s="34"/>
      <c r="O7" s="34"/>
      <c r="P7" s="34"/>
      <c r="Q7" s="34"/>
      <c r="R7" s="376"/>
      <c r="S7" s="608"/>
      <c r="T7" s="609"/>
      <c r="U7" s="610"/>
      <c r="V7" s="576"/>
      <c r="W7" s="576"/>
      <c r="X7" s="499"/>
      <c r="Y7" s="500"/>
      <c r="Z7" s="499"/>
      <c r="AA7" s="499"/>
      <c r="AB7" s="506"/>
      <c r="AC7" s="506"/>
      <c r="AD7" s="506"/>
      <c r="AE7" s="506"/>
      <c r="AF7" s="506"/>
    </row>
    <row r="8" spans="1:32" s="19" customFormat="1" ht="20.149999999999999" customHeight="1" thickBot="1" x14ac:dyDescent="0.35">
      <c r="B8" s="112"/>
      <c r="C8" s="376"/>
      <c r="D8" s="376"/>
      <c r="E8" s="165" t="s">
        <v>10</v>
      </c>
      <c r="F8" s="31" t="s">
        <v>13</v>
      </c>
      <c r="G8" s="31" t="s">
        <v>0</v>
      </c>
      <c r="H8" s="165" t="s">
        <v>10</v>
      </c>
      <c r="I8" s="31" t="s">
        <v>13</v>
      </c>
      <c r="J8" s="166" t="s">
        <v>0</v>
      </c>
      <c r="K8" s="158"/>
      <c r="L8" s="376"/>
      <c r="M8" s="376"/>
      <c r="N8" s="63"/>
      <c r="O8" s="63"/>
      <c r="P8" s="35"/>
      <c r="Q8" s="35"/>
      <c r="R8" s="61"/>
      <c r="S8" s="576"/>
      <c r="T8" s="576"/>
      <c r="U8" s="576"/>
      <c r="V8" s="576"/>
      <c r="W8" s="576"/>
      <c r="X8" s="499" t="s">
        <v>164</v>
      </c>
      <c r="Y8" s="500"/>
      <c r="Z8" s="499">
        <v>7</v>
      </c>
      <c r="AA8" s="499" t="s">
        <v>163</v>
      </c>
      <c r="AB8" s="509"/>
      <c r="AC8" s="509"/>
      <c r="AD8" s="509"/>
      <c r="AE8" s="509"/>
      <c r="AF8" s="509"/>
    </row>
    <row r="9" spans="1:32" s="8" customFormat="1" ht="16" customHeight="1" thickTop="1" thickBot="1" x14ac:dyDescent="0.35">
      <c r="B9" s="114"/>
      <c r="C9" s="34"/>
      <c r="D9" s="170"/>
      <c r="E9" s="247">
        <f>E7</f>
        <v>44562</v>
      </c>
      <c r="F9" s="272"/>
      <c r="G9" s="470"/>
      <c r="H9" s="408">
        <f>H7</f>
        <v>44593</v>
      </c>
      <c r="I9" s="452"/>
      <c r="J9" s="479"/>
      <c r="K9" s="122"/>
      <c r="L9" s="37"/>
      <c r="M9" s="37"/>
      <c r="N9" s="63"/>
      <c r="O9" s="63"/>
      <c r="P9" s="35"/>
      <c r="Q9" s="35"/>
      <c r="R9" s="61"/>
      <c r="S9" s="62"/>
      <c r="T9" s="381"/>
      <c r="V9" s="60"/>
      <c r="X9" s="499">
        <f>IF(S4="綾川町・まんのう町・直島町　以外",COUNTIF(E31:E34,"○"),0)</f>
        <v>0</v>
      </c>
      <c r="Y9" s="502"/>
      <c r="Z9" s="503">
        <f>Z6+Z8</f>
        <v>7</v>
      </c>
      <c r="AA9" s="503"/>
      <c r="AB9" s="511"/>
      <c r="AC9" s="511"/>
      <c r="AD9" s="511"/>
      <c r="AE9" s="511"/>
      <c r="AF9" s="511"/>
    </row>
    <row r="10" spans="1:32" s="8" customFormat="1" ht="16" customHeight="1" thickTop="1" x14ac:dyDescent="0.3">
      <c r="B10" s="114"/>
      <c r="C10" s="34"/>
      <c r="D10" s="170"/>
      <c r="E10" s="174">
        <f>E9+1</f>
        <v>44563</v>
      </c>
      <c r="F10" s="211"/>
      <c r="G10" s="237"/>
      <c r="H10" s="407">
        <f>H9+1</f>
        <v>44594</v>
      </c>
      <c r="I10" s="461"/>
      <c r="J10" s="480"/>
      <c r="K10" s="122"/>
      <c r="L10" s="37"/>
      <c r="M10" s="37"/>
      <c r="N10" s="63"/>
      <c r="O10" s="63"/>
      <c r="P10" s="35"/>
      <c r="Q10" s="35"/>
      <c r="R10" s="61"/>
      <c r="S10" s="62"/>
      <c r="T10" s="381"/>
      <c r="V10" s="60"/>
      <c r="X10" s="499"/>
      <c r="Y10" s="504"/>
      <c r="Z10" s="499"/>
      <c r="AA10" s="499"/>
      <c r="AB10" s="511"/>
      <c r="AC10" s="511"/>
      <c r="AD10" s="511"/>
      <c r="AE10" s="511"/>
      <c r="AF10" s="511"/>
    </row>
    <row r="11" spans="1:32" s="8" customFormat="1" ht="16" customHeight="1" x14ac:dyDescent="0.3">
      <c r="B11" s="114"/>
      <c r="C11" s="34"/>
      <c r="D11" s="170"/>
      <c r="E11" s="174">
        <f t="shared" ref="E11:E38" si="0">E10+1</f>
        <v>44564</v>
      </c>
      <c r="F11" s="211"/>
      <c r="G11" s="237"/>
      <c r="H11" s="179">
        <f t="shared" ref="H11:H36" si="1">H10+1</f>
        <v>44595</v>
      </c>
      <c r="I11" s="314"/>
      <c r="J11" s="481"/>
      <c r="K11" s="122"/>
      <c r="L11" s="37"/>
      <c r="M11" s="37"/>
      <c r="N11" s="63"/>
      <c r="O11" s="63"/>
      <c r="P11" s="35"/>
      <c r="Q11" s="35"/>
      <c r="R11" s="61"/>
      <c r="S11" s="60"/>
      <c r="T11" s="380"/>
      <c r="V11" s="60"/>
      <c r="X11" s="499" t="s">
        <v>163</v>
      </c>
      <c r="Y11" s="505"/>
      <c r="Z11" s="499">
        <f>IF(S7="直島町",0,1)</f>
        <v>1</v>
      </c>
      <c r="AA11" s="506" t="s">
        <v>165</v>
      </c>
      <c r="AB11" s="511"/>
      <c r="AC11" s="511"/>
      <c r="AD11" s="511"/>
      <c r="AE11" s="511"/>
      <c r="AF11" s="511"/>
    </row>
    <row r="12" spans="1:32" s="8" customFormat="1" ht="16" customHeight="1" x14ac:dyDescent="0.3">
      <c r="B12" s="114"/>
      <c r="C12" s="34"/>
      <c r="D12" s="170"/>
      <c r="E12" s="174">
        <f>E11+1</f>
        <v>44565</v>
      </c>
      <c r="F12" s="211"/>
      <c r="G12" s="237"/>
      <c r="H12" s="179">
        <f>H11+1</f>
        <v>44596</v>
      </c>
      <c r="I12" s="314"/>
      <c r="J12" s="481"/>
      <c r="K12" s="122"/>
      <c r="L12" s="37"/>
      <c r="M12" s="37"/>
      <c r="N12" s="63"/>
      <c r="O12" s="63"/>
      <c r="P12" s="35"/>
      <c r="Q12" s="35"/>
      <c r="R12" s="61"/>
      <c r="S12" s="62"/>
      <c r="T12" s="380"/>
      <c r="V12" s="60"/>
      <c r="X12" s="507">
        <f>COUNTIF(E35:E41,"○")</f>
        <v>0</v>
      </c>
      <c r="Y12" s="508"/>
      <c r="Z12" s="509">
        <f>Z9*Z11</f>
        <v>7</v>
      </c>
      <c r="AA12" s="509" t="s">
        <v>166</v>
      </c>
      <c r="AB12" s="511"/>
      <c r="AC12" s="511"/>
      <c r="AD12" s="511"/>
      <c r="AE12" s="511"/>
      <c r="AF12" s="511"/>
    </row>
    <row r="13" spans="1:32" s="8" customFormat="1" ht="16" customHeight="1" x14ac:dyDescent="0.3">
      <c r="B13" s="114"/>
      <c r="C13" s="34"/>
      <c r="D13" s="170"/>
      <c r="E13" s="174">
        <f t="shared" si="0"/>
        <v>44566</v>
      </c>
      <c r="F13" s="211"/>
      <c r="G13" s="237"/>
      <c r="H13" s="179">
        <f t="shared" si="1"/>
        <v>44597</v>
      </c>
      <c r="I13" s="314"/>
      <c r="J13" s="481"/>
      <c r="K13" s="122"/>
      <c r="L13" s="37"/>
      <c r="M13" s="37"/>
      <c r="N13" s="35"/>
      <c r="O13" s="35"/>
      <c r="P13" s="35"/>
      <c r="Q13" s="35"/>
      <c r="R13" s="61"/>
      <c r="S13" s="62"/>
      <c r="T13" s="381"/>
      <c r="V13" s="60"/>
      <c r="X13" s="506" t="s">
        <v>171</v>
      </c>
      <c r="Y13" s="510"/>
      <c r="Z13" s="511"/>
      <c r="AA13" s="511"/>
      <c r="AB13" s="511"/>
      <c r="AC13" s="511"/>
      <c r="AD13" s="511"/>
      <c r="AE13" s="511"/>
      <c r="AF13" s="511"/>
    </row>
    <row r="14" spans="1:32" s="8" customFormat="1" ht="16" customHeight="1" x14ac:dyDescent="0.3">
      <c r="B14" s="114"/>
      <c r="C14" s="34"/>
      <c r="D14" s="170"/>
      <c r="E14" s="248">
        <f t="shared" si="0"/>
        <v>44567</v>
      </c>
      <c r="F14" s="212"/>
      <c r="G14" s="471"/>
      <c r="H14" s="217">
        <f t="shared" si="1"/>
        <v>44598</v>
      </c>
      <c r="I14" s="453"/>
      <c r="J14" s="482"/>
      <c r="K14" s="122"/>
      <c r="L14" s="37"/>
      <c r="M14" s="37"/>
      <c r="N14" s="35"/>
      <c r="O14" s="35"/>
      <c r="P14" s="35"/>
      <c r="Q14" s="35"/>
      <c r="R14" s="61"/>
      <c r="S14" s="62"/>
      <c r="T14" s="381"/>
      <c r="V14" s="60"/>
      <c r="X14" s="512">
        <f>X9+X12</f>
        <v>0</v>
      </c>
      <c r="Y14" s="510"/>
      <c r="Z14" s="511"/>
      <c r="AA14" s="511"/>
      <c r="AB14" s="511"/>
      <c r="AC14" s="511"/>
      <c r="AD14" s="511"/>
      <c r="AE14" s="511"/>
      <c r="AF14" s="511"/>
    </row>
    <row r="15" spans="1:32" s="8" customFormat="1" ht="16" customHeight="1" x14ac:dyDescent="0.3">
      <c r="B15" s="114"/>
      <c r="C15" s="34"/>
      <c r="D15" s="170"/>
      <c r="E15" s="247">
        <f t="shared" si="0"/>
        <v>44568</v>
      </c>
      <c r="F15" s="272"/>
      <c r="G15" s="470"/>
      <c r="H15" s="209">
        <f t="shared" si="1"/>
        <v>44599</v>
      </c>
      <c r="I15" s="454"/>
      <c r="J15" s="483"/>
      <c r="K15" s="122"/>
      <c r="L15" s="37"/>
      <c r="M15" s="37"/>
      <c r="N15" s="35"/>
      <c r="O15" s="35"/>
      <c r="P15" s="35"/>
      <c r="Q15" s="35"/>
      <c r="R15" s="61"/>
      <c r="S15" s="60"/>
      <c r="T15" s="380"/>
      <c r="V15" s="60"/>
      <c r="X15" s="506" t="s">
        <v>165</v>
      </c>
      <c r="Y15" s="510"/>
      <c r="Z15" s="499">
        <f>IF(S7="直島町",12,13)</f>
        <v>13</v>
      </c>
      <c r="AA15" s="511" t="s">
        <v>167</v>
      </c>
      <c r="AB15" s="511"/>
      <c r="AC15" s="511"/>
      <c r="AD15" s="511"/>
      <c r="AE15" s="511"/>
      <c r="AF15" s="511"/>
    </row>
    <row r="16" spans="1:32" s="8" customFormat="1" ht="16" customHeight="1" x14ac:dyDescent="0.3">
      <c r="B16" s="114"/>
      <c r="C16" s="34"/>
      <c r="D16" s="170"/>
      <c r="E16" s="174">
        <f t="shared" si="0"/>
        <v>44569</v>
      </c>
      <c r="F16" s="211"/>
      <c r="G16" s="237"/>
      <c r="H16" s="179">
        <f t="shared" si="1"/>
        <v>44600</v>
      </c>
      <c r="I16" s="314"/>
      <c r="J16" s="481"/>
      <c r="K16" s="122"/>
      <c r="L16" s="37"/>
      <c r="M16" s="37"/>
      <c r="N16" s="63"/>
      <c r="O16" s="63"/>
      <c r="P16" s="35"/>
      <c r="Q16" s="35"/>
      <c r="R16" s="61"/>
      <c r="S16" s="62"/>
      <c r="T16" s="380"/>
      <c r="V16" s="60"/>
      <c r="X16" s="499">
        <f>IF(S7="直島町",0,1)</f>
        <v>1</v>
      </c>
      <c r="Y16" s="511"/>
      <c r="Z16" s="511"/>
      <c r="AA16" s="511"/>
      <c r="AB16" s="511"/>
      <c r="AC16" s="511"/>
      <c r="AD16" s="511"/>
      <c r="AE16" s="511"/>
      <c r="AF16" s="511"/>
    </row>
    <row r="17" spans="2:32" s="8" customFormat="1" ht="16" customHeight="1" x14ac:dyDescent="0.3">
      <c r="B17" s="114"/>
      <c r="C17" s="34"/>
      <c r="D17" s="170"/>
      <c r="E17" s="174">
        <f t="shared" si="0"/>
        <v>44570</v>
      </c>
      <c r="F17" s="211"/>
      <c r="G17" s="237"/>
      <c r="H17" s="179">
        <f t="shared" si="1"/>
        <v>44601</v>
      </c>
      <c r="I17" s="314"/>
      <c r="J17" s="481"/>
      <c r="K17" s="122"/>
      <c r="L17" s="37"/>
      <c r="M17" s="37"/>
      <c r="N17" s="35"/>
      <c r="O17" s="35"/>
      <c r="P17" s="35"/>
      <c r="Q17" s="35"/>
      <c r="R17" s="61"/>
      <c r="S17" s="62"/>
      <c r="T17" s="381"/>
      <c r="V17" s="60"/>
      <c r="X17" s="513">
        <f>X14*X16</f>
        <v>0</v>
      </c>
      <c r="Y17" s="511"/>
      <c r="Z17" s="511"/>
      <c r="AA17" s="511"/>
      <c r="AB17" s="511"/>
      <c r="AC17" s="511"/>
      <c r="AD17" s="511"/>
      <c r="AE17" s="511"/>
      <c r="AF17" s="511"/>
    </row>
    <row r="18" spans="2:32" s="8" customFormat="1" ht="16" customHeight="1" x14ac:dyDescent="0.3">
      <c r="B18" s="114"/>
      <c r="C18" s="34"/>
      <c r="D18" s="170"/>
      <c r="E18" s="174">
        <f t="shared" si="0"/>
        <v>44571</v>
      </c>
      <c r="F18" s="211"/>
      <c r="G18" s="237"/>
      <c r="H18" s="179">
        <f t="shared" si="1"/>
        <v>44602</v>
      </c>
      <c r="I18" s="314"/>
      <c r="J18" s="481"/>
      <c r="K18" s="122"/>
      <c r="L18" s="37"/>
      <c r="M18" s="37"/>
      <c r="N18" s="35"/>
      <c r="O18" s="35"/>
      <c r="P18" s="35"/>
      <c r="Q18" s="35"/>
      <c r="R18" s="61"/>
      <c r="S18" s="62"/>
      <c r="T18" s="381"/>
      <c r="V18" s="60"/>
      <c r="X18" s="514"/>
      <c r="Y18" s="511"/>
      <c r="Z18" s="511" t="s">
        <v>178</v>
      </c>
      <c r="AA18" s="511"/>
      <c r="AB18" s="511"/>
      <c r="AC18" s="511"/>
      <c r="AD18" s="511"/>
      <c r="AE18" s="511"/>
      <c r="AF18" s="511"/>
    </row>
    <row r="19" spans="2:32" s="8" customFormat="1" ht="16" customHeight="1" x14ac:dyDescent="0.3">
      <c r="B19" s="114"/>
      <c r="C19" s="34"/>
      <c r="D19" s="170"/>
      <c r="E19" s="248">
        <f t="shared" si="0"/>
        <v>44572</v>
      </c>
      <c r="F19" s="212"/>
      <c r="G19" s="472"/>
      <c r="H19" s="217">
        <f t="shared" si="1"/>
        <v>44603</v>
      </c>
      <c r="I19" s="453"/>
      <c r="J19" s="482"/>
      <c r="K19" s="122"/>
      <c r="L19" s="37"/>
      <c r="M19" s="37"/>
      <c r="N19" s="35"/>
      <c r="O19" s="35"/>
      <c r="P19" s="35"/>
      <c r="Q19" s="35"/>
      <c r="R19" s="61"/>
      <c r="S19" s="60"/>
      <c r="T19" s="380"/>
      <c r="V19" s="60"/>
      <c r="X19" s="514"/>
      <c r="Y19" s="511"/>
      <c r="Z19" s="499" t="s">
        <v>165</v>
      </c>
      <c r="AA19" s="511"/>
      <c r="AB19" s="511"/>
      <c r="AC19" s="511"/>
      <c r="AD19" s="511"/>
      <c r="AE19" s="511"/>
      <c r="AF19" s="511"/>
    </row>
    <row r="20" spans="2:32" s="8" customFormat="1" ht="16" customHeight="1" x14ac:dyDescent="0.3">
      <c r="B20" s="114"/>
      <c r="C20" s="34"/>
      <c r="D20" s="170"/>
      <c r="E20" s="279">
        <f t="shared" si="0"/>
        <v>44573</v>
      </c>
      <c r="F20" s="275"/>
      <c r="G20" s="486"/>
      <c r="H20" s="326">
        <f t="shared" si="1"/>
        <v>44604</v>
      </c>
      <c r="I20" s="455"/>
      <c r="J20" s="484"/>
      <c r="K20" s="122"/>
      <c r="L20" s="37"/>
      <c r="M20" s="37"/>
      <c r="N20" s="35"/>
      <c r="O20" s="35"/>
      <c r="P20" s="35"/>
      <c r="Q20" s="35"/>
      <c r="R20" s="61"/>
      <c r="S20" s="60"/>
      <c r="T20" s="380"/>
      <c r="V20" s="60"/>
      <c r="X20" s="514" t="s">
        <v>175</v>
      </c>
      <c r="Y20" s="511"/>
      <c r="Z20" s="499">
        <f>IF(S7="直島町",0,COUNTIF(I9,"○"))</f>
        <v>0</v>
      </c>
      <c r="AA20" s="511"/>
      <c r="AB20" s="511"/>
      <c r="AC20" s="511"/>
      <c r="AD20" s="511"/>
      <c r="AE20" s="511"/>
      <c r="AF20" s="511"/>
    </row>
    <row r="21" spans="2:32" s="8" customFormat="1" ht="16" customHeight="1" thickBot="1" x14ac:dyDescent="0.35">
      <c r="B21" s="114"/>
      <c r="C21" s="34"/>
      <c r="D21" s="170"/>
      <c r="E21" s="249">
        <f t="shared" si="0"/>
        <v>44574</v>
      </c>
      <c r="F21" s="450"/>
      <c r="G21" s="472"/>
      <c r="H21" s="305">
        <f t="shared" si="1"/>
        <v>44605</v>
      </c>
      <c r="I21" s="306"/>
      <c r="J21" s="478"/>
      <c r="K21" s="122"/>
      <c r="L21" s="37"/>
      <c r="M21" s="37"/>
      <c r="N21" s="35"/>
      <c r="O21" s="35"/>
      <c r="P21" s="35"/>
      <c r="Q21" s="35"/>
      <c r="R21" s="61"/>
      <c r="S21" s="60"/>
      <c r="T21" s="380"/>
      <c r="V21" s="60"/>
      <c r="X21" s="499" t="s">
        <v>164</v>
      </c>
      <c r="Y21" s="511"/>
      <c r="Z21" s="499"/>
      <c r="AA21" s="511"/>
      <c r="AB21" s="511"/>
      <c r="AC21" s="511"/>
      <c r="AD21" s="511"/>
      <c r="AE21" s="511"/>
      <c r="AF21" s="511"/>
    </row>
    <row r="22" spans="2:32" s="8" customFormat="1" ht="16" customHeight="1" thickTop="1" x14ac:dyDescent="0.3">
      <c r="B22" s="114"/>
      <c r="C22" s="34"/>
      <c r="D22" s="170"/>
      <c r="E22" s="249">
        <f t="shared" si="0"/>
        <v>44575</v>
      </c>
      <c r="F22" s="450"/>
      <c r="G22" s="473"/>
      <c r="H22" s="307">
        <f t="shared" si="1"/>
        <v>44606</v>
      </c>
      <c r="I22" s="451"/>
      <c r="J22" s="485"/>
      <c r="K22" s="122"/>
      <c r="L22" s="37"/>
      <c r="M22" s="37"/>
      <c r="N22" s="63"/>
      <c r="O22" s="63"/>
      <c r="P22" s="35"/>
      <c r="Q22" s="35"/>
      <c r="R22" s="61"/>
      <c r="S22" s="62"/>
      <c r="T22" s="380"/>
      <c r="V22" s="60"/>
      <c r="X22" s="499">
        <f>IF(S7="綾川町・まんのう町・直島町　以外",4,0)</f>
        <v>0</v>
      </c>
      <c r="Y22" s="511"/>
      <c r="Z22" s="499" t="s">
        <v>172</v>
      </c>
      <c r="AA22" s="511"/>
      <c r="AB22" s="511"/>
      <c r="AC22" s="511"/>
      <c r="AD22" s="511"/>
      <c r="AE22" s="511"/>
      <c r="AF22" s="511"/>
    </row>
    <row r="23" spans="2:32" s="8" customFormat="1" ht="16" customHeight="1" x14ac:dyDescent="0.3">
      <c r="B23" s="114"/>
      <c r="C23" s="34"/>
      <c r="D23" s="170"/>
      <c r="E23" s="249">
        <f t="shared" si="0"/>
        <v>44576</v>
      </c>
      <c r="F23" s="450"/>
      <c r="G23" s="473"/>
      <c r="H23" s="249">
        <f t="shared" si="1"/>
        <v>44607</v>
      </c>
      <c r="I23" s="450"/>
      <c r="J23" s="473"/>
      <c r="K23" s="122"/>
      <c r="L23" s="37"/>
      <c r="M23" s="37"/>
      <c r="N23" s="35"/>
      <c r="O23" s="35"/>
      <c r="P23" s="35"/>
      <c r="Q23" s="35"/>
      <c r="R23" s="61"/>
      <c r="S23" s="60"/>
      <c r="T23" s="380"/>
      <c r="V23" s="60"/>
      <c r="X23" s="514" t="s">
        <v>176</v>
      </c>
      <c r="Y23" s="511"/>
      <c r="Z23" s="507">
        <f>COUNTIF(I10:I21,"○")</f>
        <v>0</v>
      </c>
      <c r="AA23" s="511"/>
      <c r="AB23" s="511"/>
      <c r="AC23" s="511"/>
      <c r="AD23" s="511"/>
      <c r="AE23" s="511"/>
      <c r="AF23" s="511"/>
    </row>
    <row r="24" spans="2:32" s="8" customFormat="1" ht="16" customHeight="1" x14ac:dyDescent="0.3">
      <c r="B24" s="114"/>
      <c r="C24" s="34"/>
      <c r="D24" s="170"/>
      <c r="E24" s="249">
        <f t="shared" si="0"/>
        <v>44577</v>
      </c>
      <c r="F24" s="450"/>
      <c r="G24" s="473"/>
      <c r="H24" s="249">
        <f t="shared" si="1"/>
        <v>44608</v>
      </c>
      <c r="I24" s="450"/>
      <c r="J24" s="473"/>
      <c r="K24" s="122"/>
      <c r="L24" s="37"/>
      <c r="M24" s="37"/>
      <c r="N24" s="35"/>
      <c r="O24" s="35"/>
      <c r="P24" s="35"/>
      <c r="Q24" s="35"/>
      <c r="R24" s="61"/>
      <c r="S24" s="60"/>
      <c r="T24" s="380"/>
      <c r="V24" s="60"/>
      <c r="X24" s="513">
        <v>7</v>
      </c>
      <c r="Y24" s="511"/>
      <c r="Z24" s="506" t="s">
        <v>171</v>
      </c>
      <c r="AA24" s="511"/>
      <c r="AB24" s="511"/>
      <c r="AC24" s="511"/>
      <c r="AD24" s="511"/>
      <c r="AE24" s="511"/>
      <c r="AF24" s="511"/>
    </row>
    <row r="25" spans="2:32" s="8" customFormat="1" ht="16" customHeight="1" x14ac:dyDescent="0.3">
      <c r="B25" s="114"/>
      <c r="C25" s="34"/>
      <c r="D25" s="170"/>
      <c r="E25" s="249">
        <f t="shared" si="0"/>
        <v>44578</v>
      </c>
      <c r="F25" s="450"/>
      <c r="G25" s="473"/>
      <c r="H25" s="249">
        <f t="shared" si="1"/>
        <v>44609</v>
      </c>
      <c r="I25" s="450"/>
      <c r="J25" s="473"/>
      <c r="K25" s="122"/>
      <c r="L25" s="37"/>
      <c r="M25" s="37"/>
      <c r="N25" s="35"/>
      <c r="O25" s="35"/>
      <c r="P25" s="35"/>
      <c r="Q25" s="35"/>
      <c r="R25" s="61"/>
      <c r="S25" s="60"/>
      <c r="T25" s="380"/>
      <c r="V25" s="60"/>
      <c r="X25" s="506" t="s">
        <v>171</v>
      </c>
      <c r="Y25" s="511"/>
      <c r="Z25" s="512">
        <f>Z20+Z23</f>
        <v>0</v>
      </c>
      <c r="AA25" s="511"/>
      <c r="AB25" s="511"/>
      <c r="AC25" s="511"/>
      <c r="AD25" s="511"/>
      <c r="AE25" s="511"/>
      <c r="AF25" s="511"/>
    </row>
    <row r="26" spans="2:32" s="8" customFormat="1" ht="16" customHeight="1" x14ac:dyDescent="0.3">
      <c r="B26" s="114"/>
      <c r="C26" s="34"/>
      <c r="D26" s="170"/>
      <c r="E26" s="249">
        <f t="shared" si="0"/>
        <v>44579</v>
      </c>
      <c r="F26" s="450"/>
      <c r="G26" s="473"/>
      <c r="H26" s="249">
        <f t="shared" si="1"/>
        <v>44610</v>
      </c>
      <c r="I26" s="450"/>
      <c r="J26" s="473"/>
      <c r="K26" s="122"/>
      <c r="L26" s="37"/>
      <c r="M26" s="37"/>
      <c r="N26" s="35"/>
      <c r="O26" s="35"/>
      <c r="P26" s="35"/>
      <c r="Q26" s="35"/>
      <c r="R26" s="61"/>
      <c r="S26" s="60"/>
      <c r="T26" s="380"/>
      <c r="V26" s="60"/>
      <c r="X26" s="512">
        <f>X22+X24</f>
        <v>7</v>
      </c>
      <c r="Y26" s="511"/>
      <c r="Z26" s="511"/>
      <c r="AA26" s="511"/>
      <c r="AB26" s="511"/>
      <c r="AC26" s="511"/>
      <c r="AD26" s="511"/>
      <c r="AE26" s="511"/>
      <c r="AF26" s="511"/>
    </row>
    <row r="27" spans="2:32" s="8" customFormat="1" ht="16" customHeight="1" x14ac:dyDescent="0.3">
      <c r="B27" s="114"/>
      <c r="C27" s="34"/>
      <c r="D27" s="170"/>
      <c r="E27" s="249">
        <f t="shared" si="0"/>
        <v>44580</v>
      </c>
      <c r="F27" s="450"/>
      <c r="G27" s="473"/>
      <c r="H27" s="249">
        <f t="shared" si="1"/>
        <v>44611</v>
      </c>
      <c r="I27" s="450"/>
      <c r="J27" s="473"/>
      <c r="K27" s="122"/>
      <c r="L27" s="37"/>
      <c r="M27" s="37"/>
      <c r="N27" s="63"/>
      <c r="O27" s="63"/>
      <c r="P27" s="35"/>
      <c r="Q27" s="35"/>
      <c r="R27" s="61"/>
      <c r="S27" s="62"/>
      <c r="T27" s="380"/>
      <c r="V27" s="60"/>
      <c r="X27" s="506" t="s">
        <v>165</v>
      </c>
      <c r="Y27" s="511"/>
      <c r="Z27" s="511"/>
      <c r="AA27" s="511"/>
      <c r="AB27" s="511"/>
      <c r="AC27" s="511"/>
      <c r="AD27" s="511"/>
      <c r="AE27" s="511"/>
      <c r="AF27" s="511"/>
    </row>
    <row r="28" spans="2:32" s="8" customFormat="1" ht="16" customHeight="1" thickBot="1" x14ac:dyDescent="0.35">
      <c r="B28" s="114"/>
      <c r="C28" s="34"/>
      <c r="D28" s="170"/>
      <c r="E28" s="250">
        <f t="shared" si="0"/>
        <v>44581</v>
      </c>
      <c r="F28" s="466"/>
      <c r="G28" s="474"/>
      <c r="H28" s="249">
        <f t="shared" si="1"/>
        <v>44612</v>
      </c>
      <c r="I28" s="450"/>
      <c r="J28" s="473"/>
      <c r="K28" s="122"/>
      <c r="L28" s="37"/>
      <c r="M28" s="37"/>
      <c r="N28" s="63"/>
      <c r="O28" s="63"/>
      <c r="P28" s="35"/>
      <c r="Q28" s="464"/>
      <c r="R28" s="61"/>
      <c r="S28" s="62"/>
      <c r="T28" s="380"/>
      <c r="V28" s="60"/>
      <c r="X28" s="499">
        <f>IF(S7="直島町",0,1)</f>
        <v>1</v>
      </c>
      <c r="Y28" s="511"/>
      <c r="Z28" s="511"/>
      <c r="AA28" s="511"/>
      <c r="AB28" s="511"/>
      <c r="AC28" s="511"/>
      <c r="AD28" s="511"/>
      <c r="AE28" s="511"/>
      <c r="AF28" s="511"/>
    </row>
    <row r="29" spans="2:32" s="8" customFormat="1" ht="16" customHeight="1" thickTop="1" x14ac:dyDescent="0.3">
      <c r="B29" s="114"/>
      <c r="C29" s="34"/>
      <c r="D29" s="170"/>
      <c r="E29" s="302">
        <f t="shared" si="0"/>
        <v>44582</v>
      </c>
      <c r="F29" s="303"/>
      <c r="G29" s="475"/>
      <c r="H29" s="327">
        <f t="shared" si="1"/>
        <v>44613</v>
      </c>
      <c r="I29" s="450"/>
      <c r="J29" s="473"/>
      <c r="K29" s="122"/>
      <c r="L29" s="37"/>
      <c r="M29" s="92"/>
      <c r="N29" s="42"/>
      <c r="O29" s="42"/>
      <c r="P29" s="42"/>
      <c r="Q29" s="42"/>
      <c r="R29" s="69"/>
      <c r="S29" s="70"/>
      <c r="T29" s="382"/>
      <c r="U29" s="71"/>
      <c r="V29" s="71"/>
      <c r="X29" s="513">
        <f>X26*X28</f>
        <v>7</v>
      </c>
      <c r="Y29" s="511"/>
      <c r="Z29" s="511"/>
      <c r="AA29" s="511"/>
      <c r="AB29" s="511"/>
      <c r="AC29" s="511"/>
      <c r="AD29" s="511"/>
      <c r="AE29" s="511"/>
      <c r="AF29" s="511"/>
    </row>
    <row r="30" spans="2:32" s="8" customFormat="1" ht="16" customHeight="1" x14ac:dyDescent="0.3">
      <c r="B30" s="114"/>
      <c r="C30" s="34"/>
      <c r="D30" s="170"/>
      <c r="E30" s="304">
        <f t="shared" si="0"/>
        <v>44583</v>
      </c>
      <c r="F30" s="300"/>
      <c r="G30" s="476"/>
      <c r="H30" s="327">
        <f t="shared" si="1"/>
        <v>44614</v>
      </c>
      <c r="I30" s="450"/>
      <c r="J30" s="473"/>
      <c r="K30" s="122"/>
      <c r="L30" s="37"/>
      <c r="M30" s="85"/>
      <c r="N30" s="468" t="s">
        <v>12</v>
      </c>
      <c r="O30" s="95"/>
      <c r="P30" s="52"/>
      <c r="Q30" s="52"/>
      <c r="R30" s="86"/>
      <c r="S30" s="87"/>
      <c r="T30" s="88"/>
      <c r="V30" s="65"/>
      <c r="X30" s="514"/>
      <c r="Y30" s="511"/>
      <c r="Z30" s="511"/>
      <c r="AA30" s="511"/>
      <c r="AB30" s="511"/>
      <c r="AC30" s="511"/>
      <c r="AD30" s="511"/>
      <c r="AE30" s="511"/>
      <c r="AF30" s="511"/>
    </row>
    <row r="31" spans="2:32" s="8" customFormat="1" ht="16" customHeight="1" x14ac:dyDescent="0.3">
      <c r="B31" s="114"/>
      <c r="C31" s="34"/>
      <c r="D31" s="170"/>
      <c r="E31" s="304">
        <f t="shared" si="0"/>
        <v>44584</v>
      </c>
      <c r="F31" s="300"/>
      <c r="G31" s="476"/>
      <c r="H31" s="327">
        <f t="shared" si="1"/>
        <v>44615</v>
      </c>
      <c r="I31" s="450"/>
      <c r="J31" s="473"/>
      <c r="K31" s="122"/>
      <c r="L31" s="37"/>
      <c r="M31" s="67"/>
      <c r="N31" s="35"/>
      <c r="O31" s="35"/>
      <c r="P31" s="35"/>
      <c r="Q31" s="35"/>
      <c r="R31" s="61"/>
      <c r="S31" s="60"/>
      <c r="T31" s="94" t="s">
        <v>11</v>
      </c>
      <c r="V31" s="66"/>
      <c r="X31" s="514" t="s">
        <v>179</v>
      </c>
      <c r="Y31" s="511"/>
      <c r="Z31" s="511"/>
      <c r="AA31" s="511"/>
      <c r="AB31" s="511"/>
      <c r="AC31" s="511"/>
      <c r="AD31" s="511"/>
      <c r="AE31" s="511"/>
      <c r="AF31" s="511"/>
    </row>
    <row r="32" spans="2:32" s="8" customFormat="1" ht="16" customHeight="1" thickBot="1" x14ac:dyDescent="0.35">
      <c r="B32" s="114"/>
      <c r="C32" s="34"/>
      <c r="D32" s="170"/>
      <c r="E32" s="312">
        <f t="shared" si="0"/>
        <v>44585</v>
      </c>
      <c r="F32" s="301"/>
      <c r="G32" s="477"/>
      <c r="H32" s="327">
        <f t="shared" si="1"/>
        <v>44616</v>
      </c>
      <c r="I32" s="450"/>
      <c r="J32" s="473"/>
      <c r="K32" s="122"/>
      <c r="L32" s="37"/>
      <c r="M32" s="67"/>
      <c r="N32" s="63"/>
      <c r="O32" s="186" t="s">
        <v>116</v>
      </c>
      <c r="P32" s="50"/>
      <c r="Q32" s="43"/>
      <c r="R32" s="44"/>
      <c r="S32" s="183">
        <f>'⑤-1'!J53</f>
        <v>0</v>
      </c>
      <c r="T32" s="612"/>
      <c r="V32" s="66"/>
      <c r="X32" s="499" t="s">
        <v>159</v>
      </c>
      <c r="Y32" s="511"/>
      <c r="Z32" s="511"/>
      <c r="AA32" s="511"/>
      <c r="AB32" s="511"/>
      <c r="AC32" s="511"/>
      <c r="AD32" s="511"/>
      <c r="AE32" s="511"/>
      <c r="AF32" s="511"/>
    </row>
    <row r="33" spans="1:32" s="8" customFormat="1" ht="16" customHeight="1" thickTop="1" x14ac:dyDescent="0.3">
      <c r="B33" s="114"/>
      <c r="C33" s="34"/>
      <c r="D33" s="170"/>
      <c r="E33" s="302">
        <f t="shared" si="0"/>
        <v>44586</v>
      </c>
      <c r="F33" s="303"/>
      <c r="G33" s="475"/>
      <c r="H33" s="327">
        <f t="shared" si="1"/>
        <v>44617</v>
      </c>
      <c r="I33" s="450"/>
      <c r="J33" s="473"/>
      <c r="K33" s="122"/>
      <c r="L33" s="37"/>
      <c r="M33" s="67"/>
      <c r="N33" s="35"/>
      <c r="O33" s="51"/>
      <c r="P33" s="45" t="s">
        <v>117</v>
      </c>
      <c r="Q33" s="46"/>
      <c r="R33" s="47"/>
      <c r="S33" s="183">
        <f>J50</f>
        <v>0</v>
      </c>
      <c r="T33" s="613"/>
      <c r="V33" s="66"/>
      <c r="X33" s="499">
        <f>IF(S7="綾川町・まんのう町",0,SUM(F29:F32))</f>
        <v>0</v>
      </c>
      <c r="Y33" s="511"/>
      <c r="Z33" s="511"/>
      <c r="AA33" s="511"/>
      <c r="AB33" s="511"/>
      <c r="AC33" s="511"/>
      <c r="AD33" s="511"/>
      <c r="AE33" s="511"/>
      <c r="AF33" s="511"/>
    </row>
    <row r="34" spans="1:32" s="8" customFormat="1" ht="16" customHeight="1" x14ac:dyDescent="0.3">
      <c r="B34" s="114"/>
      <c r="C34" s="34"/>
      <c r="D34" s="170"/>
      <c r="E34" s="304">
        <f t="shared" si="0"/>
        <v>44587</v>
      </c>
      <c r="F34" s="300"/>
      <c r="G34" s="476"/>
      <c r="H34" s="327">
        <f t="shared" si="1"/>
        <v>44618</v>
      </c>
      <c r="I34" s="450"/>
      <c r="J34" s="473"/>
      <c r="K34" s="122"/>
      <c r="L34" s="37"/>
      <c r="M34" s="67"/>
      <c r="N34" s="35"/>
      <c r="O34" s="48"/>
      <c r="P34" s="42" t="s">
        <v>110</v>
      </c>
      <c r="Q34" s="42"/>
      <c r="R34" s="49"/>
      <c r="S34" s="183">
        <f>+ROUNDUP((S32-S33)*0.4,-3)</f>
        <v>0</v>
      </c>
      <c r="T34" s="614"/>
      <c r="V34" s="66"/>
      <c r="X34" s="499" t="s">
        <v>163</v>
      </c>
      <c r="Y34" s="511"/>
      <c r="Z34" s="511"/>
      <c r="AA34" s="511"/>
      <c r="AB34" s="511"/>
      <c r="AC34" s="511"/>
      <c r="AD34" s="511"/>
      <c r="AE34" s="511"/>
      <c r="AF34" s="511"/>
    </row>
    <row r="35" spans="1:32" s="8" customFormat="1" ht="16" customHeight="1" x14ac:dyDescent="0.3">
      <c r="B35" s="114"/>
      <c r="C35" s="34"/>
      <c r="D35" s="170"/>
      <c r="E35" s="304">
        <f t="shared" si="0"/>
        <v>44588</v>
      </c>
      <c r="F35" s="300"/>
      <c r="G35" s="476"/>
      <c r="H35" s="327">
        <f t="shared" si="1"/>
        <v>44619</v>
      </c>
      <c r="I35" s="450"/>
      <c r="J35" s="473"/>
      <c r="K35" s="122"/>
      <c r="L35" s="37"/>
      <c r="M35" s="67"/>
      <c r="N35" s="35"/>
      <c r="O35" s="35"/>
      <c r="P35" s="35"/>
      <c r="Q35" s="35"/>
      <c r="R35" s="61" t="s">
        <v>7</v>
      </c>
      <c r="S35" s="184"/>
      <c r="T35" s="60"/>
      <c r="V35" s="66"/>
      <c r="X35" s="516">
        <f>COUNTIF(F33:F39,"○")</f>
        <v>0</v>
      </c>
      <c r="Y35" s="511"/>
      <c r="Z35" s="511"/>
      <c r="AA35" s="511"/>
      <c r="AB35" s="511"/>
      <c r="AC35" s="511"/>
      <c r="AD35" s="511"/>
      <c r="AE35" s="511"/>
      <c r="AF35" s="511"/>
    </row>
    <row r="36" spans="1:32" s="8" customFormat="1" ht="16" customHeight="1" x14ac:dyDescent="0.3">
      <c r="B36" s="114"/>
      <c r="C36" s="34"/>
      <c r="D36" s="170"/>
      <c r="E36" s="304">
        <f t="shared" si="0"/>
        <v>44589</v>
      </c>
      <c r="F36" s="300"/>
      <c r="G36" s="476"/>
      <c r="H36" s="327">
        <f t="shared" si="1"/>
        <v>44620</v>
      </c>
      <c r="I36" s="450"/>
      <c r="J36" s="473"/>
      <c r="K36" s="122"/>
      <c r="L36" s="37"/>
      <c r="M36" s="67"/>
      <c r="N36" s="63"/>
      <c r="O36" s="186" t="s">
        <v>154</v>
      </c>
      <c r="P36" s="52"/>
      <c r="Q36" s="52"/>
      <c r="R36" s="53"/>
      <c r="S36" s="183">
        <f>'⑤-1'!J63</f>
        <v>0</v>
      </c>
      <c r="T36" s="621"/>
      <c r="V36" s="66"/>
      <c r="X36" s="517" t="s">
        <v>171</v>
      </c>
      <c r="Y36" s="511"/>
      <c r="Z36" s="511"/>
      <c r="AA36" s="511"/>
      <c r="AB36" s="511"/>
      <c r="AC36" s="511"/>
      <c r="AD36" s="511"/>
      <c r="AE36" s="511"/>
      <c r="AF36" s="511"/>
    </row>
    <row r="37" spans="1:32" s="8" customFormat="1" ht="16" customHeight="1" x14ac:dyDescent="0.3">
      <c r="B37" s="114"/>
      <c r="C37" s="34"/>
      <c r="D37" s="170"/>
      <c r="E37" s="304">
        <f t="shared" si="0"/>
        <v>44590</v>
      </c>
      <c r="F37" s="300"/>
      <c r="G37" s="476"/>
      <c r="H37" s="448" t="str">
        <f>IF(H36="","",IF(DAY(H36+1)=1,"",H36+1))</f>
        <v/>
      </c>
      <c r="I37" s="445"/>
      <c r="J37" s="449"/>
      <c r="K37" s="122"/>
      <c r="L37" s="37"/>
      <c r="M37" s="67"/>
      <c r="N37" s="35"/>
      <c r="O37" s="54"/>
      <c r="P37" s="35" t="s">
        <v>155</v>
      </c>
      <c r="Q37" s="35"/>
      <c r="R37" s="55"/>
      <c r="S37" s="183">
        <f>J60</f>
        <v>0</v>
      </c>
      <c r="T37" s="624"/>
      <c r="V37" s="66"/>
      <c r="X37" s="518">
        <f>X33+X35</f>
        <v>0</v>
      </c>
      <c r="Y37" s="511"/>
      <c r="Z37" s="511"/>
      <c r="AA37" s="511"/>
      <c r="AB37" s="511"/>
      <c r="AC37" s="511"/>
      <c r="AD37" s="511"/>
      <c r="AE37" s="511"/>
      <c r="AF37" s="511"/>
    </row>
    <row r="38" spans="1:32" s="8" customFormat="1" ht="16" customHeight="1" x14ac:dyDescent="0.3">
      <c r="B38" s="114"/>
      <c r="C38" s="34"/>
      <c r="D38" s="170"/>
      <c r="E38" s="304">
        <f t="shared" si="0"/>
        <v>44591</v>
      </c>
      <c r="F38" s="300"/>
      <c r="G38" s="476"/>
      <c r="H38" s="444" t="str">
        <f>IF(H37="","",IF(DAY(H37+1)=1,"",H37+1))</f>
        <v/>
      </c>
      <c r="I38" s="170"/>
      <c r="J38" s="440"/>
      <c r="K38" s="122"/>
      <c r="L38" s="37"/>
      <c r="M38" s="67"/>
      <c r="N38" s="35"/>
      <c r="O38" s="56"/>
      <c r="P38" s="42" t="s">
        <v>156</v>
      </c>
      <c r="Q38" s="42"/>
      <c r="R38" s="49"/>
      <c r="S38" s="183">
        <f>+ROUNDUP((S36-S37)*0.4,-3)</f>
        <v>0</v>
      </c>
      <c r="T38" s="625"/>
      <c r="V38" s="66"/>
      <c r="X38" s="517" t="s">
        <v>165</v>
      </c>
      <c r="Y38" s="511"/>
      <c r="Z38" s="511"/>
      <c r="AA38" s="511"/>
      <c r="AB38" s="511"/>
      <c r="AC38" s="511"/>
      <c r="AD38" s="511"/>
      <c r="AE38" s="511"/>
      <c r="AF38" s="511"/>
    </row>
    <row r="39" spans="1:32" s="8" customFormat="1" ht="16" customHeight="1" thickBot="1" x14ac:dyDescent="0.35">
      <c r="B39" s="114"/>
      <c r="C39" s="34"/>
      <c r="D39" s="34"/>
      <c r="E39" s="305">
        <f>IF(E38="","",IF(DAY(E38+1)=1,"",E38+1))</f>
        <v>44592</v>
      </c>
      <c r="F39" s="306"/>
      <c r="G39" s="478"/>
      <c r="H39" s="444" t="str">
        <f t="shared" ref="H39" si="2">IF(H37="","",IF(DAY(H37+1)=1,"",H37+1))</f>
        <v/>
      </c>
      <c r="I39" s="170"/>
      <c r="J39" s="440"/>
      <c r="K39" s="122"/>
      <c r="L39" s="37"/>
      <c r="M39" s="67"/>
      <c r="N39" s="42"/>
      <c r="O39" s="257"/>
      <c r="P39" s="257"/>
      <c r="Q39" s="257"/>
      <c r="R39" s="260"/>
      <c r="S39" s="261"/>
      <c r="T39" s="262"/>
      <c r="U39" s="71"/>
      <c r="V39" s="72"/>
      <c r="X39" s="499">
        <f>IF(S7="直島町",0,1)</f>
        <v>1</v>
      </c>
      <c r="Y39" s="511"/>
      <c r="Z39" s="511"/>
      <c r="AA39" s="511"/>
      <c r="AB39" s="511"/>
      <c r="AC39" s="511"/>
      <c r="AD39" s="511"/>
      <c r="AE39" s="511"/>
      <c r="AF39" s="511"/>
    </row>
    <row r="40" spans="1:32" ht="6" customHeight="1" thickTop="1" thickBot="1" x14ac:dyDescent="0.35">
      <c r="A40" s="123"/>
      <c r="B40" s="201"/>
      <c r="C40" s="202"/>
      <c r="D40" s="202"/>
      <c r="E40" s="202"/>
      <c r="F40" s="202"/>
      <c r="G40" s="202"/>
      <c r="H40" s="202"/>
      <c r="I40" s="202"/>
      <c r="J40" s="202"/>
      <c r="K40" s="203"/>
      <c r="L40" s="37"/>
      <c r="M40" s="263"/>
      <c r="N40" s="52"/>
      <c r="O40" s="52"/>
      <c r="P40" s="52"/>
      <c r="Q40" s="52"/>
      <c r="R40" s="86"/>
      <c r="S40" s="258"/>
      <c r="T40" s="259"/>
      <c r="U40" s="89"/>
      <c r="V40" s="89"/>
      <c r="W40" s="8"/>
      <c r="X40" s="499">
        <f>X37*X39</f>
        <v>0</v>
      </c>
      <c r="Y40" s="499"/>
      <c r="Z40" s="499"/>
      <c r="AA40" s="499"/>
      <c r="AB40" s="504"/>
      <c r="AC40" s="499"/>
      <c r="AD40" s="499"/>
      <c r="AE40" s="499"/>
      <c r="AF40" s="499"/>
    </row>
    <row r="41" spans="1:32" s="27" customFormat="1" ht="16" customHeight="1" thickTop="1" x14ac:dyDescent="0.3">
      <c r="A41" s="99"/>
      <c r="B41" s="120"/>
      <c r="C41" s="146" t="s">
        <v>18</v>
      </c>
      <c r="D41" s="12"/>
      <c r="E41" s="12"/>
      <c r="F41" s="12"/>
      <c r="G41" s="28"/>
      <c r="H41" s="12"/>
      <c r="I41" s="12"/>
      <c r="J41" s="28"/>
      <c r="K41" s="121"/>
      <c r="L41" s="37"/>
      <c r="M41" s="85"/>
      <c r="N41" s="468" t="s">
        <v>92</v>
      </c>
      <c r="O41" s="95"/>
      <c r="P41" s="52"/>
      <c r="Q41" s="52"/>
      <c r="R41" s="86"/>
      <c r="S41" s="87"/>
      <c r="T41" s="88"/>
      <c r="U41" s="8"/>
      <c r="V41" s="65"/>
      <c r="W41" s="8"/>
      <c r="X41" s="522"/>
      <c r="Y41" s="503"/>
      <c r="Z41" s="503"/>
      <c r="AA41" s="503"/>
      <c r="AB41" s="503"/>
      <c r="AC41" s="503"/>
      <c r="AD41" s="503"/>
      <c r="AE41" s="503"/>
      <c r="AF41" s="503"/>
    </row>
    <row r="42" spans="1:32" s="8" customFormat="1" ht="16" customHeight="1" x14ac:dyDescent="0.3">
      <c r="B42" s="114"/>
      <c r="C42" s="12" t="s">
        <v>5</v>
      </c>
      <c r="D42" s="12"/>
      <c r="E42" s="12"/>
      <c r="F42" s="12"/>
      <c r="G42" s="28"/>
      <c r="H42" s="12"/>
      <c r="I42" s="12"/>
      <c r="J42" s="28"/>
      <c r="K42" s="121"/>
      <c r="L42" s="37"/>
      <c r="M42" s="67"/>
      <c r="N42" s="606" t="s">
        <v>194</v>
      </c>
      <c r="O42" s="607"/>
      <c r="P42" s="607"/>
      <c r="Q42" s="607"/>
      <c r="R42" s="607"/>
      <c r="S42" s="607"/>
      <c r="T42" s="607"/>
      <c r="V42" s="66"/>
      <c r="X42" s="517"/>
      <c r="Y42" s="511"/>
      <c r="Z42" s="511"/>
      <c r="AA42" s="511"/>
      <c r="AB42" s="511"/>
      <c r="AC42" s="511"/>
      <c r="AD42" s="511"/>
      <c r="AE42" s="511"/>
      <c r="AF42" s="511"/>
    </row>
    <row r="43" spans="1:32" ht="16" customHeight="1" x14ac:dyDescent="0.3">
      <c r="B43" s="110"/>
      <c r="C43" s="11" t="s">
        <v>114</v>
      </c>
      <c r="D43" s="11"/>
      <c r="E43" s="11"/>
      <c r="F43" s="11"/>
      <c r="G43" s="32"/>
      <c r="H43" s="11"/>
      <c r="I43" s="11"/>
      <c r="J43" s="32"/>
      <c r="K43" s="191"/>
      <c r="L43" s="37"/>
      <c r="M43" s="67"/>
      <c r="N43" s="607"/>
      <c r="O43" s="607"/>
      <c r="P43" s="607"/>
      <c r="Q43" s="607"/>
      <c r="R43" s="607"/>
      <c r="S43" s="607"/>
      <c r="T43" s="607"/>
      <c r="U43" s="8"/>
      <c r="V43" s="66"/>
      <c r="W43" s="8"/>
      <c r="X43" s="517"/>
      <c r="Y43" s="499"/>
      <c r="Z43" s="499"/>
      <c r="AA43" s="499"/>
      <c r="AB43" s="499"/>
      <c r="AC43" s="499"/>
      <c r="AD43" s="499"/>
      <c r="AE43" s="499"/>
      <c r="AF43" s="499"/>
    </row>
    <row r="44" spans="1:32" s="8" customFormat="1" ht="16" customHeight="1" x14ac:dyDescent="0.3">
      <c r="B44" s="114"/>
      <c r="D44" s="12"/>
      <c r="E44" s="103" t="s">
        <v>67</v>
      </c>
      <c r="F44" s="12"/>
      <c r="G44" s="28"/>
      <c r="H44" s="12"/>
      <c r="I44" s="12"/>
      <c r="J44" s="28"/>
      <c r="K44" s="119"/>
      <c r="L44" s="37"/>
      <c r="M44" s="67"/>
      <c r="N44" s="607"/>
      <c r="O44" s="607"/>
      <c r="P44" s="607"/>
      <c r="Q44" s="607"/>
      <c r="R44" s="607"/>
      <c r="S44" s="607"/>
      <c r="T44" s="607"/>
      <c r="V44" s="66"/>
      <c r="X44" s="499"/>
      <c r="Y44" s="511"/>
      <c r="Z44" s="511"/>
      <c r="AA44" s="511"/>
      <c r="AB44" s="511"/>
      <c r="AC44" s="511"/>
      <c r="AD44" s="511"/>
      <c r="AE44" s="511"/>
      <c r="AF44" s="511"/>
    </row>
    <row r="45" spans="1:32" s="8" customFormat="1" ht="16" customHeight="1" x14ac:dyDescent="0.3">
      <c r="B45" s="114"/>
      <c r="C45" s="615"/>
      <c r="D45" s="615"/>
      <c r="E45" s="605" t="s">
        <v>83</v>
      </c>
      <c r="F45" s="605"/>
      <c r="G45" s="526">
        <f>SUM(G9:G39)*X28</f>
        <v>0</v>
      </c>
      <c r="H45" s="605" t="s">
        <v>62</v>
      </c>
      <c r="I45" s="605"/>
      <c r="J45" s="526">
        <f>SUM(J9:J36)</f>
        <v>0</v>
      </c>
      <c r="K45" s="119"/>
      <c r="L45" s="37"/>
      <c r="M45" s="67"/>
      <c r="N45" s="63" t="s">
        <v>94</v>
      </c>
      <c r="O45" s="374" t="s">
        <v>93</v>
      </c>
      <c r="P45" s="257"/>
      <c r="Q45" s="257"/>
      <c r="R45" s="365"/>
      <c r="S45" s="366">
        <v>200000</v>
      </c>
      <c r="T45" s="375"/>
      <c r="V45" s="66"/>
      <c r="X45" s="522"/>
      <c r="Y45" s="511"/>
      <c r="Z45" s="511"/>
      <c r="AA45" s="511"/>
      <c r="AB45" s="511"/>
      <c r="AC45" s="511"/>
      <c r="AD45" s="511"/>
      <c r="AE45" s="511"/>
      <c r="AF45" s="511"/>
    </row>
    <row r="46" spans="1:32" s="27" customFormat="1" ht="16" customHeight="1" x14ac:dyDescent="0.3">
      <c r="B46" s="120"/>
      <c r="C46" s="619"/>
      <c r="D46" s="619"/>
      <c r="E46" s="574" t="s">
        <v>84</v>
      </c>
      <c r="F46" s="574"/>
      <c r="G46" s="494">
        <f>(31-G47)*X28</f>
        <v>31</v>
      </c>
      <c r="H46" s="574" t="s">
        <v>86</v>
      </c>
      <c r="I46" s="574"/>
      <c r="J46" s="494">
        <f>28-J47</f>
        <v>28</v>
      </c>
      <c r="K46" s="121"/>
      <c r="L46" s="37"/>
      <c r="M46" s="67"/>
      <c r="N46" s="63"/>
      <c r="O46" s="10"/>
      <c r="P46" s="35"/>
      <c r="Q46" s="35"/>
      <c r="R46" s="61"/>
      <c r="S46" s="185"/>
      <c r="T46" s="381"/>
      <c r="U46" s="8"/>
      <c r="V46" s="66"/>
      <c r="W46" s="8"/>
      <c r="X46" s="499"/>
      <c r="Y46" s="503"/>
      <c r="Z46" s="503"/>
      <c r="AA46" s="503"/>
      <c r="AB46" s="503"/>
      <c r="AC46" s="503"/>
      <c r="AD46" s="503"/>
      <c r="AE46" s="503"/>
      <c r="AF46" s="503"/>
    </row>
    <row r="47" spans="1:32" s="8" customFormat="1" ht="16" customHeight="1" x14ac:dyDescent="0.3">
      <c r="B47" s="114"/>
      <c r="C47" s="619"/>
      <c r="D47" s="619"/>
      <c r="E47" s="574" t="s">
        <v>85</v>
      </c>
      <c r="F47" s="574"/>
      <c r="G47" s="494">
        <f>COUNTIF(F9:F39,"○")*X28</f>
        <v>0</v>
      </c>
      <c r="H47" s="574" t="s">
        <v>87</v>
      </c>
      <c r="I47" s="574"/>
      <c r="J47" s="494">
        <f>COUNTIF(I9:I36,"○")</f>
        <v>0</v>
      </c>
      <c r="K47" s="122"/>
      <c r="L47" s="37"/>
      <c r="M47" s="67"/>
      <c r="N47" s="63"/>
      <c r="O47" s="10"/>
      <c r="P47" s="35"/>
      <c r="Q47" s="35"/>
      <c r="R47" s="61"/>
      <c r="S47" s="185"/>
      <c r="T47" s="381"/>
      <c r="V47" s="66"/>
      <c r="X47" s="522"/>
      <c r="Y47" s="511"/>
      <c r="Z47" s="511"/>
      <c r="AA47" s="511"/>
      <c r="AB47" s="511"/>
      <c r="AC47" s="511"/>
      <c r="AD47" s="511"/>
      <c r="AE47" s="511"/>
      <c r="AF47" s="511"/>
    </row>
    <row r="48" spans="1:32" ht="16" customHeight="1" x14ac:dyDescent="0.3">
      <c r="B48" s="110"/>
      <c r="C48" s="378"/>
      <c r="D48" s="378"/>
      <c r="E48" s="620" t="s">
        <v>88</v>
      </c>
      <c r="F48" s="573"/>
      <c r="G48" s="573"/>
      <c r="H48" s="573"/>
      <c r="I48" s="573"/>
      <c r="J48" s="527">
        <f>G45+J45</f>
        <v>0</v>
      </c>
      <c r="K48" s="122"/>
      <c r="L48" s="37"/>
      <c r="M48" s="67"/>
      <c r="N48" s="63"/>
      <c r="O48" s="160"/>
      <c r="P48" s="35"/>
      <c r="Q48" s="35"/>
      <c r="R48" s="61"/>
      <c r="S48" s="185"/>
      <c r="T48" s="381"/>
      <c r="U48" s="8"/>
      <c r="V48" s="66"/>
      <c r="W48" s="8"/>
      <c r="X48" s="522"/>
      <c r="Y48" s="499"/>
      <c r="Z48" s="499"/>
      <c r="AA48" s="499"/>
      <c r="AB48" s="499"/>
      <c r="AC48" s="499"/>
      <c r="AD48" s="499"/>
      <c r="AE48" s="499"/>
      <c r="AF48" s="499"/>
    </row>
    <row r="49" spans="1:32" ht="16" customHeight="1" x14ac:dyDescent="0.3">
      <c r="B49" s="110"/>
      <c r="C49" s="378"/>
      <c r="D49" s="378"/>
      <c r="E49" s="620" t="s">
        <v>153</v>
      </c>
      <c r="F49" s="573"/>
      <c r="G49" s="573"/>
      <c r="H49" s="573"/>
      <c r="I49" s="573"/>
      <c r="J49" s="527">
        <f>G46+J46</f>
        <v>59</v>
      </c>
      <c r="K49" s="122"/>
      <c r="L49" s="11"/>
      <c r="M49" s="67"/>
      <c r="N49" s="186"/>
      <c r="O49" s="52"/>
      <c r="P49" s="52"/>
      <c r="Q49" s="52"/>
      <c r="R49" s="86"/>
      <c r="S49" s="89"/>
      <c r="T49" s="159" t="s">
        <v>98</v>
      </c>
      <c r="U49" s="65"/>
      <c r="V49" s="66"/>
      <c r="X49" s="517"/>
      <c r="Y49" s="499"/>
      <c r="Z49" s="499"/>
      <c r="AA49" s="499"/>
      <c r="AB49" s="499"/>
      <c r="AC49" s="499"/>
      <c r="AD49" s="499"/>
      <c r="AE49" s="499"/>
      <c r="AF49" s="499"/>
    </row>
    <row r="50" spans="1:32" ht="16" customHeight="1" x14ac:dyDescent="0.3">
      <c r="B50" s="110"/>
      <c r="C50" s="378"/>
      <c r="D50" s="378"/>
      <c r="E50" s="620" t="s">
        <v>89</v>
      </c>
      <c r="F50" s="573"/>
      <c r="G50" s="573"/>
      <c r="H50" s="573"/>
      <c r="I50" s="573"/>
      <c r="J50" s="527">
        <f>ROUNDUP(J48/J49,0)</f>
        <v>0</v>
      </c>
      <c r="K50" s="180" t="s">
        <v>81</v>
      </c>
      <c r="L50" s="28"/>
      <c r="M50" s="67"/>
      <c r="N50" s="54" t="s">
        <v>95</v>
      </c>
      <c r="O50" s="186" t="s">
        <v>118</v>
      </c>
      <c r="P50" s="50"/>
      <c r="Q50" s="43"/>
      <c r="R50" s="44"/>
      <c r="S50" s="183">
        <f>'⑤-1'!J53</f>
        <v>0</v>
      </c>
      <c r="T50" s="621"/>
      <c r="U50" s="66"/>
      <c r="V50" s="66"/>
      <c r="W50" s="8"/>
      <c r="X50" s="499"/>
      <c r="Y50" s="499"/>
      <c r="Z50" s="499"/>
      <c r="AA50" s="499"/>
      <c r="AB50" s="499"/>
      <c r="AC50" s="499"/>
      <c r="AD50" s="499"/>
      <c r="AE50" s="499"/>
      <c r="AF50" s="499"/>
    </row>
    <row r="51" spans="1:32" ht="16" customHeight="1" thickBot="1" x14ac:dyDescent="0.35">
      <c r="B51" s="175"/>
      <c r="C51" s="39"/>
      <c r="D51" s="39"/>
      <c r="E51" s="39"/>
      <c r="F51" s="39"/>
      <c r="G51" s="40"/>
      <c r="H51" s="39"/>
      <c r="I51" s="39"/>
      <c r="J51" s="40" t="s">
        <v>8</v>
      </c>
      <c r="K51" s="200"/>
      <c r="L51" s="32"/>
      <c r="M51" s="67"/>
      <c r="N51" s="51"/>
      <c r="O51" s="48"/>
      <c r="P51" s="42" t="s">
        <v>168</v>
      </c>
      <c r="Q51" s="42"/>
      <c r="R51" s="49"/>
      <c r="S51" s="183">
        <f>+ROUNDUP((S50)*0.3,-3)</f>
        <v>0</v>
      </c>
      <c r="T51" s="580"/>
      <c r="U51" s="66"/>
      <c r="V51" s="66"/>
      <c r="X51" s="499"/>
      <c r="Y51" s="499"/>
      <c r="Z51" s="499"/>
      <c r="AA51" s="499"/>
      <c r="AB51" s="499"/>
      <c r="AC51" s="499"/>
      <c r="AD51" s="499"/>
      <c r="AE51" s="499"/>
      <c r="AF51" s="499"/>
    </row>
    <row r="52" spans="1:32" ht="16" customHeight="1" x14ac:dyDescent="0.3">
      <c r="B52" s="110"/>
      <c r="C52" s="11" t="s">
        <v>6</v>
      </c>
      <c r="D52" s="11"/>
      <c r="E52" s="11"/>
      <c r="F52" s="11"/>
      <c r="G52" s="11"/>
      <c r="H52" s="11"/>
      <c r="I52" s="11"/>
      <c r="J52" s="11"/>
      <c r="K52" s="123"/>
      <c r="L52" s="58"/>
      <c r="M52" s="67"/>
      <c r="N52" s="54"/>
      <c r="O52" s="35"/>
      <c r="P52" s="35"/>
      <c r="Q52" s="35"/>
      <c r="R52" s="61" t="s">
        <v>7</v>
      </c>
      <c r="S52" s="184"/>
      <c r="T52" s="60"/>
      <c r="U52" s="66"/>
      <c r="V52" s="66"/>
      <c r="W52" s="8"/>
      <c r="X52" s="499"/>
      <c r="Y52" s="499"/>
      <c r="Z52" s="499"/>
      <c r="AA52" s="499"/>
      <c r="AB52" s="499"/>
      <c r="AC52" s="499"/>
      <c r="AD52" s="499"/>
      <c r="AE52" s="499"/>
      <c r="AF52" s="499"/>
    </row>
    <row r="53" spans="1:32" ht="31.5" customHeight="1" x14ac:dyDescent="0.3">
      <c r="B53" s="110"/>
      <c r="C53" s="575" t="s">
        <v>136</v>
      </c>
      <c r="D53" s="576"/>
      <c r="E53" s="576"/>
      <c r="F53" s="576"/>
      <c r="G53" s="576"/>
      <c r="H53" s="576"/>
      <c r="I53" s="576"/>
      <c r="J53" s="576"/>
      <c r="K53" s="191"/>
      <c r="L53" s="58"/>
      <c r="M53" s="67"/>
      <c r="N53" s="54"/>
      <c r="O53" s="186" t="s">
        <v>119</v>
      </c>
      <c r="P53" s="52"/>
      <c r="Q53" s="52"/>
      <c r="R53" s="53"/>
      <c r="S53" s="183">
        <f>'⑤-1'!J63</f>
        <v>0</v>
      </c>
      <c r="T53" s="621"/>
      <c r="U53" s="66"/>
      <c r="V53" s="66"/>
      <c r="W53" s="8"/>
      <c r="X53" s="499"/>
      <c r="Y53" s="499"/>
      <c r="Z53" s="499"/>
      <c r="AA53" s="499"/>
      <c r="AB53" s="499"/>
      <c r="AC53" s="499"/>
      <c r="AD53" s="499"/>
      <c r="AE53" s="499"/>
      <c r="AF53" s="499"/>
    </row>
    <row r="54" spans="1:32" ht="16" customHeight="1" thickBot="1" x14ac:dyDescent="0.35">
      <c r="B54" s="110"/>
      <c r="D54" s="11"/>
      <c r="E54" s="103" t="s">
        <v>127</v>
      </c>
      <c r="F54" s="11"/>
      <c r="G54" s="32"/>
      <c r="H54" s="11"/>
      <c r="I54" s="11"/>
      <c r="J54" s="32"/>
      <c r="K54" s="191"/>
      <c r="L54" s="28"/>
      <c r="M54" s="67"/>
      <c r="N54" s="51"/>
      <c r="O54" s="56"/>
      <c r="P54" s="42" t="s">
        <v>168</v>
      </c>
      <c r="Q54" s="42"/>
      <c r="R54" s="49"/>
      <c r="S54" s="183">
        <f>+ROUNDUP((S53)*0.3,-3)</f>
        <v>0</v>
      </c>
      <c r="T54" s="580"/>
      <c r="U54" s="66"/>
      <c r="V54" s="66"/>
      <c r="W54" s="27"/>
      <c r="X54" s="499"/>
      <c r="Y54" s="499"/>
      <c r="Z54" s="499"/>
      <c r="AA54" s="499"/>
      <c r="AB54" s="499"/>
      <c r="AC54" s="499"/>
      <c r="AD54" s="499"/>
      <c r="AE54" s="499"/>
      <c r="AF54" s="499"/>
    </row>
    <row r="55" spans="1:32" ht="16" customHeight="1" thickBot="1" x14ac:dyDescent="0.35">
      <c r="B55" s="110"/>
      <c r="C55" s="181"/>
      <c r="D55" s="181"/>
      <c r="E55" s="605" t="s">
        <v>132</v>
      </c>
      <c r="F55" s="605"/>
      <c r="G55" s="493">
        <f>X66</f>
        <v>0</v>
      </c>
      <c r="H55" s="605" t="s">
        <v>71</v>
      </c>
      <c r="I55" s="605"/>
      <c r="J55" s="493">
        <f>Y63</f>
        <v>0</v>
      </c>
      <c r="K55" s="122"/>
      <c r="L55" s="37"/>
      <c r="M55" s="372"/>
      <c r="N55" s="368"/>
      <c r="O55" s="257"/>
      <c r="P55" s="257"/>
      <c r="Q55" s="257"/>
      <c r="R55" s="260"/>
      <c r="S55" s="261"/>
      <c r="T55" s="262"/>
      <c r="U55" s="72"/>
      <c r="V55" s="371"/>
      <c r="W55" s="8"/>
      <c r="X55" s="499"/>
      <c r="Y55" s="499"/>
      <c r="Z55" s="499"/>
      <c r="AA55" s="499"/>
      <c r="AB55" s="499"/>
      <c r="AC55" s="499"/>
      <c r="AD55" s="499"/>
      <c r="AE55" s="499"/>
      <c r="AF55" s="499"/>
    </row>
    <row r="56" spans="1:32" ht="16" customHeight="1" x14ac:dyDescent="0.3">
      <c r="A56" s="8"/>
      <c r="B56" s="114"/>
      <c r="C56" s="619"/>
      <c r="D56" s="619"/>
      <c r="E56" s="574" t="s">
        <v>84</v>
      </c>
      <c r="F56" s="574"/>
      <c r="G56" s="528">
        <f>Z12-G57</f>
        <v>7</v>
      </c>
      <c r="H56" s="574" t="s">
        <v>86</v>
      </c>
      <c r="I56" s="574"/>
      <c r="J56" s="528">
        <f>Z15-J57</f>
        <v>13</v>
      </c>
      <c r="K56" s="119"/>
      <c r="L56" s="37"/>
      <c r="M56" s="68"/>
      <c r="N56" s="361"/>
      <c r="O56" s="257"/>
      <c r="P56" s="369"/>
      <c r="Q56" s="369"/>
      <c r="R56" s="370"/>
      <c r="S56" s="261"/>
      <c r="T56" s="361"/>
      <c r="U56" s="361"/>
      <c r="V56" s="72"/>
      <c r="X56" s="499"/>
      <c r="Y56" s="499"/>
      <c r="Z56" s="499"/>
      <c r="AA56" s="499"/>
      <c r="AB56" s="499"/>
      <c r="AC56" s="499"/>
      <c r="AD56" s="499"/>
      <c r="AE56" s="499"/>
      <c r="AF56" s="499"/>
    </row>
    <row r="57" spans="1:32" s="8" customFormat="1" ht="16" customHeight="1" x14ac:dyDescent="0.3">
      <c r="B57" s="114"/>
      <c r="C57" s="619"/>
      <c r="D57" s="619"/>
      <c r="E57" s="574" t="s">
        <v>85</v>
      </c>
      <c r="F57" s="574"/>
      <c r="G57" s="495">
        <f>X40</f>
        <v>0</v>
      </c>
      <c r="H57" s="574" t="s">
        <v>87</v>
      </c>
      <c r="I57" s="574"/>
      <c r="J57" s="495">
        <f>Z25</f>
        <v>0</v>
      </c>
      <c r="K57" s="119"/>
      <c r="L57" s="37"/>
      <c r="N57" s="35"/>
      <c r="O57" s="35"/>
      <c r="P57" s="35" t="s">
        <v>125</v>
      </c>
      <c r="Q57" s="35"/>
      <c r="R57" s="64"/>
      <c r="S57" s="285"/>
      <c r="T57" s="622"/>
      <c r="U57" s="60"/>
      <c r="V57" s="11"/>
      <c r="W57" s="1"/>
      <c r="X57" s="499" t="s">
        <v>169</v>
      </c>
      <c r="Y57" s="499" t="s">
        <v>170</v>
      </c>
      <c r="Z57" s="511"/>
      <c r="AA57" s="511"/>
      <c r="AB57" s="511"/>
      <c r="AC57" s="511"/>
      <c r="AD57" s="511"/>
      <c r="AE57" s="511"/>
      <c r="AF57" s="511"/>
    </row>
    <row r="58" spans="1:32" ht="16" customHeight="1" x14ac:dyDescent="0.3">
      <c r="B58" s="110"/>
      <c r="C58" s="378"/>
      <c r="D58" s="378"/>
      <c r="E58" s="620" t="s">
        <v>135</v>
      </c>
      <c r="F58" s="573"/>
      <c r="G58" s="573"/>
      <c r="H58" s="573"/>
      <c r="I58" s="573"/>
      <c r="J58" s="527">
        <f>G55+J55</f>
        <v>0</v>
      </c>
      <c r="K58" s="122"/>
      <c r="L58" s="37"/>
      <c r="M58" s="37"/>
      <c r="N58" s="35"/>
      <c r="O58" s="35"/>
      <c r="P58" s="36" t="s">
        <v>126</v>
      </c>
      <c r="Q58" s="36"/>
      <c r="R58" s="161"/>
      <c r="S58" s="285"/>
      <c r="T58" s="623"/>
      <c r="U58" s="11"/>
      <c r="V58" s="11"/>
      <c r="X58" s="499" t="s">
        <v>159</v>
      </c>
      <c r="Y58" s="517" t="s">
        <v>165</v>
      </c>
      <c r="Z58" s="499"/>
      <c r="AA58" s="499"/>
      <c r="AB58" s="499"/>
      <c r="AC58" s="499"/>
      <c r="AD58" s="499"/>
      <c r="AE58" s="499"/>
      <c r="AF58" s="499"/>
    </row>
    <row r="59" spans="1:32" ht="16" customHeight="1" x14ac:dyDescent="0.3">
      <c r="B59" s="110"/>
      <c r="C59" s="378"/>
      <c r="D59" s="378"/>
      <c r="E59" s="620" t="s">
        <v>152</v>
      </c>
      <c r="F59" s="573"/>
      <c r="G59" s="573"/>
      <c r="H59" s="573"/>
      <c r="I59" s="573"/>
      <c r="J59" s="527">
        <f>G56+J56</f>
        <v>20</v>
      </c>
      <c r="K59" s="122"/>
      <c r="L59" s="37"/>
      <c r="M59" s="37"/>
      <c r="O59" s="35"/>
      <c r="P59" s="35"/>
      <c r="Q59" s="35"/>
      <c r="R59" s="64"/>
      <c r="S59" s="60"/>
      <c r="T59" s="60"/>
      <c r="X59" s="499">
        <f>IF(S7="綾川町・まんのう町",0,SUM(G29:G32))</f>
        <v>0</v>
      </c>
      <c r="Y59" s="499">
        <f>IF(S7="直島町",0,J9)</f>
        <v>0</v>
      </c>
      <c r="Z59" s="499"/>
      <c r="AA59" s="499"/>
      <c r="AB59" s="499"/>
      <c r="AC59" s="499"/>
      <c r="AD59" s="499"/>
      <c r="AE59" s="499"/>
      <c r="AF59" s="499"/>
    </row>
    <row r="60" spans="1:32" s="8" customFormat="1" ht="16" customHeight="1" x14ac:dyDescent="0.3">
      <c r="A60" s="1"/>
      <c r="B60" s="110"/>
      <c r="C60" s="378"/>
      <c r="D60" s="378"/>
      <c r="E60" s="620" t="s">
        <v>89</v>
      </c>
      <c r="F60" s="573"/>
      <c r="G60" s="573"/>
      <c r="H60" s="573"/>
      <c r="I60" s="573"/>
      <c r="J60" s="527">
        <f>ROUNDUP(J58/J59,0)</f>
        <v>0</v>
      </c>
      <c r="K60" s="180" t="s">
        <v>82</v>
      </c>
      <c r="L60" s="37"/>
      <c r="M60" s="11"/>
      <c r="N60" s="11"/>
      <c r="O60" s="35"/>
      <c r="P60" s="11"/>
      <c r="Q60" s="11"/>
      <c r="R60" s="64"/>
      <c r="S60" s="11"/>
      <c r="T60" s="11"/>
      <c r="U60" s="1"/>
      <c r="V60" s="1"/>
      <c r="W60" s="1"/>
      <c r="X60" s="499" t="s">
        <v>163</v>
      </c>
      <c r="Y60" s="499" t="s">
        <v>172</v>
      </c>
      <c r="Z60" s="511"/>
      <c r="AA60" s="511"/>
      <c r="AB60" s="511"/>
      <c r="AC60" s="511"/>
      <c r="AD60" s="511"/>
      <c r="AE60" s="511"/>
      <c r="AF60" s="511"/>
    </row>
    <row r="61" spans="1:32" ht="16" customHeight="1" thickBot="1" x14ac:dyDescent="0.35">
      <c r="A61" s="8"/>
      <c r="B61" s="126"/>
      <c r="C61" s="127"/>
      <c r="D61" s="127"/>
      <c r="E61" s="127"/>
      <c r="F61" s="127"/>
      <c r="G61" s="128"/>
      <c r="H61" s="127"/>
      <c r="I61" s="127"/>
      <c r="J61" s="128" t="s">
        <v>8</v>
      </c>
      <c r="K61" s="373"/>
      <c r="L61" s="59"/>
      <c r="M61" s="11"/>
      <c r="P61" s="7"/>
      <c r="Q61" s="7"/>
      <c r="R61" s="17"/>
      <c r="S61" s="8"/>
      <c r="T61" s="8"/>
      <c r="X61" s="516">
        <f>SUM(G33:G39)</f>
        <v>0</v>
      </c>
      <c r="Y61" s="516">
        <f>SUM(J10:J21)</f>
        <v>0</v>
      </c>
      <c r="Z61" s="499"/>
      <c r="AA61" s="499"/>
      <c r="AB61" s="499"/>
      <c r="AC61" s="499"/>
      <c r="AD61" s="499"/>
      <c r="AE61" s="499"/>
      <c r="AF61" s="499"/>
    </row>
    <row r="62" spans="1:32" s="8" customFormat="1" ht="6.65" customHeight="1" x14ac:dyDescent="0.3">
      <c r="A62" s="1"/>
      <c r="B62" s="1"/>
      <c r="C62" s="1"/>
      <c r="D62" s="1"/>
      <c r="E62" s="1"/>
      <c r="F62" s="1"/>
      <c r="G62" s="11"/>
      <c r="H62" s="1"/>
      <c r="I62" s="1"/>
      <c r="J62" s="11"/>
      <c r="K62" s="11"/>
      <c r="L62" s="11"/>
      <c r="M62" s="1"/>
      <c r="N62" s="11"/>
      <c r="O62" s="11"/>
      <c r="P62" s="1"/>
      <c r="Q62" s="1"/>
      <c r="R62" s="17"/>
      <c r="S62" s="1"/>
      <c r="T62" s="1"/>
      <c r="U62" s="1"/>
      <c r="V62" s="1"/>
      <c r="W62" s="1"/>
      <c r="X62" s="517" t="s">
        <v>171</v>
      </c>
      <c r="Y62" s="517" t="s">
        <v>171</v>
      </c>
      <c r="Z62" s="511"/>
      <c r="AA62" s="511"/>
      <c r="AB62" s="511"/>
      <c r="AC62" s="511"/>
      <c r="AD62" s="511"/>
      <c r="AE62" s="511"/>
      <c r="AF62" s="511"/>
    </row>
    <row r="63" spans="1:32" ht="4.5" customHeight="1" x14ac:dyDescent="0.3">
      <c r="G63" s="11"/>
      <c r="J63" s="11"/>
      <c r="K63" s="11"/>
      <c r="L63" s="11"/>
      <c r="N63" s="1"/>
      <c r="R63" s="17"/>
      <c r="T63" s="1"/>
      <c r="X63" s="518">
        <f>X59+X61</f>
        <v>0</v>
      </c>
      <c r="Y63" s="518">
        <f>Y59+Y61</f>
        <v>0</v>
      </c>
      <c r="Z63" s="499"/>
      <c r="AA63" s="499"/>
      <c r="AB63" s="499"/>
      <c r="AC63" s="499"/>
      <c r="AD63" s="499"/>
      <c r="AE63" s="499"/>
      <c r="AF63" s="499"/>
    </row>
    <row r="64" spans="1:32" ht="4.5" customHeight="1" x14ac:dyDescent="0.3">
      <c r="G64" s="11"/>
      <c r="J64" s="11"/>
      <c r="K64" s="11"/>
      <c r="L64" s="32"/>
      <c r="N64" s="1"/>
      <c r="S64" s="11"/>
      <c r="T64" s="1"/>
      <c r="X64" s="517" t="s">
        <v>165</v>
      </c>
      <c r="Y64" s="499"/>
      <c r="Z64" s="499"/>
      <c r="AA64" s="499"/>
      <c r="AB64" s="499"/>
      <c r="AC64" s="499"/>
      <c r="AD64" s="499"/>
      <c r="AE64" s="499"/>
      <c r="AF64" s="499"/>
    </row>
    <row r="65" spans="12:32" ht="5.5" customHeight="1" x14ac:dyDescent="0.3">
      <c r="L65" s="58"/>
      <c r="N65" s="1"/>
      <c r="O65" s="1"/>
      <c r="S65" s="11"/>
      <c r="T65" s="1"/>
      <c r="W65" s="8"/>
      <c r="X65" s="499">
        <f>IF(S7="直島町",0,1)</f>
        <v>1</v>
      </c>
      <c r="Y65" s="499"/>
      <c r="Z65" s="499"/>
      <c r="AA65" s="499"/>
      <c r="AB65" s="499"/>
      <c r="AC65" s="499"/>
      <c r="AD65" s="499"/>
      <c r="AE65" s="499"/>
      <c r="AF65" s="499"/>
    </row>
    <row r="66" spans="12:32" x14ac:dyDescent="0.3">
      <c r="L66" s="37"/>
      <c r="O66" s="1"/>
      <c r="S66" s="11"/>
      <c r="T66" s="1"/>
      <c r="X66" s="499">
        <f>X63*X65</f>
        <v>0</v>
      </c>
      <c r="Y66" s="499"/>
      <c r="Z66" s="499"/>
      <c r="AA66" s="499"/>
      <c r="AB66" s="504"/>
      <c r="AC66" s="499"/>
      <c r="AD66" s="499"/>
      <c r="AE66" s="499"/>
      <c r="AF66" s="499"/>
    </row>
    <row r="67" spans="12:32" x14ac:dyDescent="0.3">
      <c r="L67" s="37"/>
      <c r="O67" s="1"/>
      <c r="X67" s="499"/>
      <c r="Y67" s="499"/>
      <c r="Z67" s="499"/>
      <c r="AA67" s="499"/>
      <c r="AB67" s="504"/>
      <c r="AC67" s="499"/>
      <c r="AD67" s="499"/>
      <c r="AE67" s="499"/>
      <c r="AF67" s="499"/>
    </row>
    <row r="68" spans="12:32" x14ac:dyDescent="0.3">
      <c r="L68" s="58"/>
      <c r="W68" s="8"/>
      <c r="X68" s="499"/>
      <c r="Y68" s="499"/>
      <c r="Z68" s="499"/>
      <c r="AA68" s="499"/>
      <c r="AB68" s="499"/>
      <c r="AC68" s="504"/>
      <c r="AD68" s="499"/>
      <c r="AE68" s="499"/>
      <c r="AF68" s="499"/>
    </row>
    <row r="69" spans="12:32" x14ac:dyDescent="0.3">
      <c r="L69" s="32"/>
      <c r="AC69" s="17"/>
    </row>
    <row r="70" spans="12:32" x14ac:dyDescent="0.3">
      <c r="L70" s="37"/>
      <c r="W70" s="8"/>
      <c r="AC70" s="17"/>
    </row>
    <row r="71" spans="12:32" x14ac:dyDescent="0.3">
      <c r="L71" s="37"/>
      <c r="AC71" s="17"/>
    </row>
    <row r="72" spans="12:32" x14ac:dyDescent="0.3">
      <c r="L72" s="37"/>
      <c r="AC72" s="17"/>
    </row>
    <row r="73" spans="12:32" x14ac:dyDescent="0.3">
      <c r="L73" s="37"/>
      <c r="AC73" s="17"/>
    </row>
    <row r="74" spans="12:32" x14ac:dyDescent="0.3">
      <c r="L74" s="11"/>
      <c r="AC74" s="17"/>
    </row>
    <row r="75" spans="12:32" x14ac:dyDescent="0.3">
      <c r="L75" s="11"/>
      <c r="AC75" s="17"/>
    </row>
    <row r="76" spans="12:32" x14ac:dyDescent="0.3">
      <c r="AC76" s="17"/>
    </row>
    <row r="77" spans="12:32" x14ac:dyDescent="0.3">
      <c r="AC77" s="17"/>
    </row>
    <row r="78" spans="12:32" x14ac:dyDescent="0.3">
      <c r="AC78" s="17"/>
    </row>
    <row r="79" spans="12:32" x14ac:dyDescent="0.3">
      <c r="AC79" s="17"/>
    </row>
    <row r="80" spans="12:32" x14ac:dyDescent="0.3">
      <c r="AC80" s="18"/>
    </row>
    <row r="81" spans="29:29" x14ac:dyDescent="0.3">
      <c r="AC81" s="18"/>
    </row>
    <row r="82" spans="29:29" x14ac:dyDescent="0.3">
      <c r="AC82" s="18"/>
    </row>
    <row r="83" spans="29:29" x14ac:dyDescent="0.3">
      <c r="AC83" s="18"/>
    </row>
    <row r="84" spans="29:29" x14ac:dyDescent="0.3">
      <c r="AC84" s="18"/>
    </row>
    <row r="85" spans="29:29" x14ac:dyDescent="0.3">
      <c r="AC85" s="18"/>
    </row>
    <row r="86" spans="29:29" x14ac:dyDescent="0.3">
      <c r="AC86" s="18"/>
    </row>
    <row r="87" spans="29:29" x14ac:dyDescent="0.3">
      <c r="AC87" s="18"/>
    </row>
    <row r="88" spans="29:29" x14ac:dyDescent="0.3">
      <c r="AC88" s="18"/>
    </row>
    <row r="89" spans="29:29" x14ac:dyDescent="0.3">
      <c r="AC89" s="18"/>
    </row>
    <row r="90" spans="29:29" x14ac:dyDescent="0.3">
      <c r="AC90" s="18"/>
    </row>
    <row r="91" spans="29:29" x14ac:dyDescent="0.3">
      <c r="AC91" s="18"/>
    </row>
    <row r="92" spans="29:29" x14ac:dyDescent="0.3">
      <c r="AC92" s="18"/>
    </row>
    <row r="93" spans="29:29" x14ac:dyDescent="0.3">
      <c r="AC93" s="18"/>
    </row>
    <row r="94" spans="29:29" x14ac:dyDescent="0.3">
      <c r="AC94" s="18"/>
    </row>
    <row r="95" spans="29:29" x14ac:dyDescent="0.3">
      <c r="AC95" s="18"/>
    </row>
    <row r="96" spans="29:29" x14ac:dyDescent="0.3">
      <c r="AC96" s="18"/>
    </row>
    <row r="97" spans="29:29" x14ac:dyDescent="0.3">
      <c r="AC97" s="18"/>
    </row>
    <row r="98" spans="29:29" x14ac:dyDescent="0.3">
      <c r="AC98" s="18"/>
    </row>
    <row r="99" spans="29:29" x14ac:dyDescent="0.3">
      <c r="AC99" s="18"/>
    </row>
    <row r="100" spans="29:29" x14ac:dyDescent="0.3">
      <c r="AC100" s="18"/>
    </row>
    <row r="101" spans="29:29" x14ac:dyDescent="0.3">
      <c r="AC101" s="18"/>
    </row>
    <row r="102" spans="29:29" x14ac:dyDescent="0.3">
      <c r="AC102" s="18"/>
    </row>
    <row r="103" spans="29:29" x14ac:dyDescent="0.3">
      <c r="AC103" s="18"/>
    </row>
    <row r="104" spans="29:29" x14ac:dyDescent="0.3">
      <c r="AC104" s="18"/>
    </row>
    <row r="105" spans="29:29" x14ac:dyDescent="0.3">
      <c r="AC105" s="18"/>
    </row>
    <row r="106" spans="29:29" x14ac:dyDescent="0.3">
      <c r="AC106" s="18"/>
    </row>
    <row r="107" spans="29:29" x14ac:dyDescent="0.3">
      <c r="AC107" s="18"/>
    </row>
    <row r="108" spans="29:29" x14ac:dyDescent="0.3">
      <c r="AC108" s="18"/>
    </row>
    <row r="109" spans="29:29" x14ac:dyDescent="0.3">
      <c r="AC109" s="18"/>
    </row>
    <row r="110" spans="29:29" x14ac:dyDescent="0.3">
      <c r="AC110" s="18"/>
    </row>
    <row r="111" spans="29:29" x14ac:dyDescent="0.3">
      <c r="AC111" s="18"/>
    </row>
    <row r="112" spans="29:29" x14ac:dyDescent="0.3">
      <c r="AC112" s="18"/>
    </row>
    <row r="113" spans="29:29" x14ac:dyDescent="0.3">
      <c r="AC113" s="18"/>
    </row>
    <row r="114" spans="29:29" x14ac:dyDescent="0.3">
      <c r="AC114" s="18"/>
    </row>
    <row r="115" spans="29:29" x14ac:dyDescent="0.3">
      <c r="AC115" s="18"/>
    </row>
    <row r="116" spans="29:29" x14ac:dyDescent="0.3">
      <c r="AC116" s="18"/>
    </row>
    <row r="117" spans="29:29" x14ac:dyDescent="0.3">
      <c r="AC117" s="18"/>
    </row>
    <row r="118" spans="29:29" x14ac:dyDescent="0.3">
      <c r="AC118" s="18"/>
    </row>
    <row r="119" spans="29:29" x14ac:dyDescent="0.3">
      <c r="AC119" s="18"/>
    </row>
    <row r="120" spans="29:29" x14ac:dyDescent="0.3">
      <c r="AC120" s="18"/>
    </row>
    <row r="121" spans="29:29" x14ac:dyDescent="0.3">
      <c r="AC121" s="18"/>
    </row>
    <row r="122" spans="29:29" x14ac:dyDescent="0.3">
      <c r="AC122" s="18"/>
    </row>
    <row r="123" spans="29:29" x14ac:dyDescent="0.3">
      <c r="AC123" s="18"/>
    </row>
    <row r="124" spans="29:29" x14ac:dyDescent="0.3">
      <c r="AC124" s="18"/>
    </row>
    <row r="125" spans="29:29" x14ac:dyDescent="0.3">
      <c r="AC125" s="18"/>
    </row>
    <row r="126" spans="29:29" x14ac:dyDescent="0.3">
      <c r="AC126" s="18"/>
    </row>
    <row r="127" spans="29:29" x14ac:dyDescent="0.3">
      <c r="AC127" s="18"/>
    </row>
    <row r="128" spans="29:29" x14ac:dyDescent="0.3">
      <c r="AC128" s="18"/>
    </row>
    <row r="129" spans="29:29" x14ac:dyDescent="0.3">
      <c r="AC129" s="18"/>
    </row>
    <row r="130" spans="29:29" x14ac:dyDescent="0.3">
      <c r="AC130" s="18"/>
    </row>
    <row r="131" spans="29:29" x14ac:dyDescent="0.3">
      <c r="AC131" s="18"/>
    </row>
    <row r="132" spans="29:29" x14ac:dyDescent="0.3">
      <c r="AC132" s="18"/>
    </row>
    <row r="133" spans="29:29" x14ac:dyDescent="0.3">
      <c r="AC133" s="18"/>
    </row>
    <row r="134" spans="29:29" x14ac:dyDescent="0.3">
      <c r="AC134" s="18"/>
    </row>
    <row r="135" spans="29:29" x14ac:dyDescent="0.3">
      <c r="AC135" s="18"/>
    </row>
    <row r="136" spans="29:29" x14ac:dyDescent="0.3">
      <c r="AC136" s="18"/>
    </row>
    <row r="137" spans="29:29" x14ac:dyDescent="0.3">
      <c r="AC137" s="18"/>
    </row>
    <row r="138" spans="29:29" x14ac:dyDescent="0.3">
      <c r="AC138" s="18"/>
    </row>
    <row r="139" spans="29:29" x14ac:dyDescent="0.3">
      <c r="AC139" s="18"/>
    </row>
    <row r="140" spans="29:29" x14ac:dyDescent="0.3">
      <c r="AC140" s="18"/>
    </row>
    <row r="141" spans="29:29" x14ac:dyDescent="0.3">
      <c r="AC141" s="18"/>
    </row>
    <row r="142" spans="29:29" x14ac:dyDescent="0.3">
      <c r="AC142" s="18"/>
    </row>
    <row r="143" spans="29:29" x14ac:dyDescent="0.3">
      <c r="AC143" s="18"/>
    </row>
    <row r="144" spans="29:29" x14ac:dyDescent="0.3">
      <c r="AC144" s="18"/>
    </row>
    <row r="145" spans="29:29" x14ac:dyDescent="0.3">
      <c r="AC145" s="18"/>
    </row>
    <row r="146" spans="29:29" x14ac:dyDescent="0.3">
      <c r="AC146" s="18"/>
    </row>
    <row r="147" spans="29:29" x14ac:dyDescent="0.3">
      <c r="AC147" s="18"/>
    </row>
    <row r="148" spans="29:29" x14ac:dyDescent="0.3">
      <c r="AC148" s="18"/>
    </row>
  </sheetData>
  <sheetProtection algorithmName="SHA-512" hashValue="CzwcfkwwkG4QBc/7mL2cs6wR6VExtxfM9J4PvobrQdHBQCHnWehNs562SnSDxJ5UwOKBU5PVSxJu5UuRDh3QxA==" saltValue="LbfS0o/k9Wv4wh3GEvD5/A==" spinCount="100000" sheet="1" objects="1" scenarios="1"/>
  <mergeCells count="35">
    <mergeCell ref="T50:T51"/>
    <mergeCell ref="T53:T54"/>
    <mergeCell ref="A1:S1"/>
    <mergeCell ref="C7:D7"/>
    <mergeCell ref="E7:G7"/>
    <mergeCell ref="H7:J7"/>
    <mergeCell ref="T32:T34"/>
    <mergeCell ref="S7:W8"/>
    <mergeCell ref="T36:T38"/>
    <mergeCell ref="N42:T44"/>
    <mergeCell ref="C45:D45"/>
    <mergeCell ref="E45:F45"/>
    <mergeCell ref="H45:I45"/>
    <mergeCell ref="C56:D56"/>
    <mergeCell ref="E56:F56"/>
    <mergeCell ref="H56:I56"/>
    <mergeCell ref="C46:D46"/>
    <mergeCell ref="E46:F46"/>
    <mergeCell ref="H46:I46"/>
    <mergeCell ref="C47:D47"/>
    <mergeCell ref="E47:F47"/>
    <mergeCell ref="H47:I47"/>
    <mergeCell ref="C53:J53"/>
    <mergeCell ref="E59:I59"/>
    <mergeCell ref="E60:I60"/>
    <mergeCell ref="E48:I48"/>
    <mergeCell ref="E49:I49"/>
    <mergeCell ref="E50:I50"/>
    <mergeCell ref="E55:F55"/>
    <mergeCell ref="H55:I55"/>
    <mergeCell ref="T57:T58"/>
    <mergeCell ref="C57:D57"/>
    <mergeCell ref="E57:F57"/>
    <mergeCell ref="H57:I57"/>
    <mergeCell ref="E58:I58"/>
  </mergeCells>
  <phoneticPr fontId="1"/>
  <conditionalFormatting sqref="E38">
    <cfRule type="expression" dxfId="14" priority="4">
      <formula>TEXT(E38,"aaa")="土"</formula>
    </cfRule>
  </conditionalFormatting>
  <conditionalFormatting sqref="E38">
    <cfRule type="expression" dxfId="13" priority="3">
      <formula>TEXT(E38,"aaa")="日"</formula>
    </cfRule>
  </conditionalFormatting>
  <conditionalFormatting sqref="E39 E9:E37">
    <cfRule type="expression" dxfId="12" priority="10">
      <formula>TEXT(E9,"aaa")="土"</formula>
    </cfRule>
  </conditionalFormatting>
  <conditionalFormatting sqref="E39 E9:E37">
    <cfRule type="expression" dxfId="11" priority="9">
      <formula>TEXT(E9,"aaa")="日"</formula>
    </cfRule>
  </conditionalFormatting>
  <conditionalFormatting sqref="H39 H9:H37">
    <cfRule type="expression" dxfId="10" priority="8">
      <formula>TEXT(H9,"aaa")="土"</formula>
    </cfRule>
  </conditionalFormatting>
  <conditionalFormatting sqref="H39 H9:H37">
    <cfRule type="expression" dxfId="9" priority="7">
      <formula>TEXT(H9,"aaa")="日"</formula>
    </cfRule>
  </conditionalFormatting>
  <conditionalFormatting sqref="H38">
    <cfRule type="expression" dxfId="8" priority="6">
      <formula>TEXT(H38,"aaa")="土"</formula>
    </cfRule>
  </conditionalFormatting>
  <conditionalFormatting sqref="H38">
    <cfRule type="expression" dxfId="7" priority="5">
      <formula>TEXT(H38,"aaa")="日"</formula>
    </cfRule>
  </conditionalFormatting>
  <conditionalFormatting sqref="E9:E18 H9:H18 E39 H39">
    <cfRule type="expression" dxfId="6" priority="11">
      <formula>COUNTIF($AM$9:$AM$130,$P9)</formula>
    </cfRule>
  </conditionalFormatting>
  <conditionalFormatting sqref="H37">
    <cfRule type="expression" dxfId="5" priority="2">
      <formula>TEXT(H37,"aaa")="土"</formula>
    </cfRule>
  </conditionalFormatting>
  <conditionalFormatting sqref="H37">
    <cfRule type="expression" dxfId="4" priority="1">
      <formula>TEXT(H37,"aaa")="日"</formula>
    </cfRule>
  </conditionalFormatting>
  <conditionalFormatting sqref="E28:E31 H28:H31">
    <cfRule type="expression" dxfId="3" priority="1400">
      <formula>COUNTIF($AM$9:$AM$130,#REF!)</formula>
    </cfRule>
  </conditionalFormatting>
  <conditionalFormatting sqref="E35:E38 H35:H38">
    <cfRule type="expression" dxfId="2" priority="1405">
      <formula>COUNTIF($AM$9:$AM$130,#REF!)</formula>
    </cfRule>
  </conditionalFormatting>
  <conditionalFormatting sqref="E19 H19 E32:E34 H32:H34">
    <cfRule type="expression" dxfId="1" priority="1436">
      <formula>COUNTIF($AM$9:$AM$130,$P23)</formula>
    </cfRule>
  </conditionalFormatting>
  <conditionalFormatting sqref="E20:E27 H20:H27">
    <cfRule type="expression" dxfId="0" priority="1447">
      <formula>COUNTIF($AM$9:$AM$130,$P28)</formula>
    </cfRule>
  </conditionalFormatting>
  <dataValidations count="3">
    <dataValidation type="list" allowBlank="1" showInputMessage="1" showErrorMessage="1" sqref="T32:T34 T36:T40 T45 T50 T53 T55:T58">
      <formula1>"レ"</formula1>
    </dataValidation>
    <dataValidation type="list" allowBlank="1" showInputMessage="1" showErrorMessage="1" sqref="D9:D38 F9:F39 I9:I36">
      <formula1>"○"</formula1>
    </dataValidation>
    <dataValidation type="list" allowBlank="1" showInputMessage="1" showErrorMessage="1" sqref="S7:T7">
      <formula1>"綾川町・まんのう町・直島町　以外,綾川町・まんのう町,直島町"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headerFooter>
    <oddFooter xml:space="preserve">&amp;C&amp;"Century,標準"
</oddFooter>
  </headerFooter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記載の手引き </vt:lpstr>
      <vt:lpstr>①</vt:lpstr>
      <vt:lpstr>②-1</vt:lpstr>
      <vt:lpstr>②-2</vt:lpstr>
      <vt:lpstr>③</vt:lpstr>
      <vt:lpstr>④</vt:lpstr>
      <vt:lpstr>⑤-1</vt:lpstr>
      <vt:lpstr>⑤-2</vt:lpstr>
      <vt:lpstr>①!Print_Area</vt:lpstr>
      <vt:lpstr>'②-1'!Print_Area</vt:lpstr>
      <vt:lpstr>'②-2'!Print_Area</vt:lpstr>
      <vt:lpstr>③!Print_Area</vt:lpstr>
      <vt:lpstr>④!Print_Area</vt:lpstr>
      <vt:lpstr>'⑤-1'!Print_Area</vt:lpstr>
      <vt:lpstr>'⑤-2'!Print_Area</vt:lpstr>
      <vt:lpstr>'記載の手引き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2020-10-29T01:21:50Z</dcterms:created>
  <dcterms:modified xsi:type="dcterms:W3CDTF">2022-02-25T07:58:59Z</dcterms:modified>
</cp:coreProperties>
</file>